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 งานจัดซื้อจัดจ้าง\1-E-bidding\ปี 66\660127-จัดตั้งห้องปฏิบัติการทางเคมีรังสีและห้องเตรียมตัวอย่าง พร้อมอุปกรณ์ประกอบ จำนวน 1 งาน\ราคากลาง\"/>
    </mc:Choice>
  </mc:AlternateContent>
  <xr:revisionPtr revIDLastSave="0" documentId="13_ncr:1_{5151455B-A63F-46E6-8FB8-DA04BEC8714A}" xr6:coauthVersionLast="47" xr6:coauthVersionMax="47" xr10:uidLastSave="{00000000-0000-0000-0000-000000000000}"/>
  <bookViews>
    <workbookView xWindow="-120" yWindow="-120" windowWidth="24240" windowHeight="13020" tabRatio="790" activeTab="3" xr2:uid="{00000000-000D-0000-FFFF-FFFF00000000}"/>
  </bookViews>
  <sheets>
    <sheet name="ปร.6 (รวม)" sheetId="64" r:id="rId1"/>
    <sheet name="ปร.5ก งานปรับปรุง" sheetId="57" r:id="rId2"/>
    <sheet name="ปร.5ข ครุภัณฑ์และจัดซื้อ " sheetId="63" r:id="rId3"/>
    <sheet name="ปร.4 งานครุภัณฑ์และจัดซื้อ" sheetId="60" r:id="rId4"/>
    <sheet name="ปร.4 ปรับปรุง " sheetId="55" r:id="rId5"/>
    <sheet name="ปร.4 งานครุภัณฑ์และจัดซื้อ  (3)" sheetId="84" state="hidden" r:id="rId6"/>
    <sheet name="ปร.4 ปรับปรุง ห้อง Radiolog (2)" sheetId="81" state="hidden" r:id="rId7"/>
    <sheet name="ปร.4 ปรับปรุง (Waste)" sheetId="21" state="hidden" r:id="rId8"/>
    <sheet name="ปร.4 ปรับปรุง (Radio-44)" sheetId="66" state="hidden" r:id="rId9"/>
    <sheet name="ปร.4 ปรับปรุง (Radio-42))" sheetId="70" state="hidden" r:id="rId10"/>
    <sheet name="ปร.4 ปรับปรุง (Cloth)" sheetId="71" state="hidden" r:id="rId11"/>
    <sheet name="ปร.4 งานครุภัณฑ์และจัดซื้อ (2)" sheetId="82" state="hidden" r:id="rId12"/>
    <sheet name="ปร.5หกหน้า" sheetId="40" state="hidden" r:id="rId13"/>
    <sheet name="ปร.6หกหน้า" sheetId="41" state="hidden" r:id="rId14"/>
  </sheets>
  <definedNames>
    <definedName name="_Hlk128645987" localSheetId="3">'ปร.4 งานครุภัณฑ์และจัดซื้อ'!$D$78</definedName>
    <definedName name="_Hlk128645987" localSheetId="5">'ปร.4 งานครุภัณฑ์และจัดซื้อ  (3)'!$D$78</definedName>
    <definedName name="_xlnm.Print_Area" localSheetId="3">'ปร.4 งานครุภัณฑ์และจัดซื้อ'!$A$1:$L$74</definedName>
    <definedName name="_xlnm.Print_Area" localSheetId="5">'ปร.4 งานครุภัณฑ์และจัดซื้อ  (3)'!$A$1:$L$74</definedName>
    <definedName name="_xlnm.Print_Area" localSheetId="4">'ปร.4 ปรับปรุง '!$A$1:$L$67</definedName>
    <definedName name="_xlnm.Print_Area" localSheetId="10">'ปร.4 ปรับปรุง (Cloth)'!$A$1:$L$19</definedName>
    <definedName name="_xlnm.Print_Area" localSheetId="9">'ปร.4 ปรับปรุง (Radio-42))'!$A$1:$L$28</definedName>
    <definedName name="_xlnm.Print_Area" localSheetId="8">'ปร.4 ปรับปรุง (Radio-44)'!$A$1:$L$26</definedName>
    <definedName name="_xlnm.Print_Area" localSheetId="7">'ปร.4 ปรับปรุง (Waste)'!$A$1:$L$25</definedName>
    <definedName name="_xlnm.Print_Area" localSheetId="6">'ปร.4 ปรับปรุง ห้อง Radiolog (2)'!$L$17</definedName>
    <definedName name="_xlnm.Print_Area" localSheetId="1">'ปร.5ก งานปรับปรุง'!$A$1:$L$37</definedName>
    <definedName name="_xlnm.Print_Area" localSheetId="2">'ปร.5ข ครุภัณฑ์และจัดซื้อ '!$A$1:$L$25</definedName>
    <definedName name="_xlnm.Print_Area" localSheetId="0">'ปร.6 (รวม)'!$A$1:$J$41</definedName>
    <definedName name="_xlnm.Print_Titles" localSheetId="3">'ปร.4 งานครุภัณฑ์และจัดซื้อ'!$5:$6</definedName>
    <definedName name="_xlnm.Print_Titles" localSheetId="5">'ปร.4 งานครุภัณฑ์และจัดซื้อ  (3)'!$1:$6</definedName>
    <definedName name="_xlnm.Print_Titles" localSheetId="11">'ปร.4 งานครุภัณฑ์และจัดซื้อ (2)'!$1:$6</definedName>
    <definedName name="_xlnm.Print_Titles" localSheetId="4">'ปร.4 ปรับปรุง '!$5:$6</definedName>
    <definedName name="_xlnm.Print_Titles" localSheetId="1">'ปร.5ก งานปรับปรุง'!$8:$9</definedName>
  </definedNames>
  <calcPr calcId="191029"/>
</workbook>
</file>

<file path=xl/calcChain.xml><?xml version="1.0" encoding="utf-8"?>
<calcChain xmlns="http://schemas.openxmlformats.org/spreadsheetml/2006/main">
  <c r="H64" i="60" l="1"/>
  <c r="K64" i="60" s="1"/>
  <c r="H65" i="60"/>
  <c r="K65" i="60" s="1"/>
  <c r="H66" i="60"/>
  <c r="K66" i="60" s="1"/>
  <c r="H56" i="60"/>
  <c r="K56" i="60" s="1"/>
  <c r="H57" i="60"/>
  <c r="K57" i="60" s="1"/>
  <c r="H58" i="60"/>
  <c r="K58" i="60" s="1"/>
  <c r="H63" i="60"/>
  <c r="K63" i="60" s="1"/>
  <c r="H67" i="60"/>
  <c r="K67" i="60" s="1"/>
  <c r="H55" i="60"/>
  <c r="K55" i="60" s="1"/>
  <c r="H50" i="60"/>
  <c r="K50" i="60" s="1"/>
  <c r="H42" i="60"/>
  <c r="K42" i="60" s="1"/>
  <c r="H32" i="60"/>
  <c r="K32" i="60" s="1"/>
  <c r="H24" i="60"/>
  <c r="K24" i="60" s="1"/>
  <c r="H25" i="60"/>
  <c r="K25" i="60" s="1"/>
  <c r="H30" i="60"/>
  <c r="K30" i="60" s="1"/>
  <c r="H19" i="60"/>
  <c r="K19" i="60" s="1"/>
  <c r="H20" i="60"/>
  <c r="K20" i="60" s="1"/>
  <c r="H21" i="60"/>
  <c r="K21" i="60" s="1"/>
  <c r="H10" i="60"/>
  <c r="K10" i="60" s="1"/>
  <c r="H59" i="60"/>
  <c r="K59" i="60" s="1"/>
  <c r="H60" i="60"/>
  <c r="K60" i="60" s="1"/>
  <c r="H35" i="60"/>
  <c r="K35" i="60" s="1"/>
  <c r="H36" i="60"/>
  <c r="K36" i="60" s="1"/>
  <c r="H38" i="60"/>
  <c r="K38" i="60" s="1"/>
  <c r="H15" i="60"/>
  <c r="K15" i="60" s="1"/>
  <c r="I25" i="57"/>
  <c r="H61" i="60"/>
  <c r="K61" i="60" s="1"/>
  <c r="H62" i="60"/>
  <c r="K62" i="60" s="1"/>
  <c r="H51" i="60"/>
  <c r="K51" i="60" s="1"/>
  <c r="H52" i="60"/>
  <c r="K52" i="60" s="1"/>
  <c r="H43" i="60"/>
  <c r="K43" i="60" s="1"/>
  <c r="H44" i="60"/>
  <c r="K44" i="60" s="1"/>
  <c r="H45" i="60"/>
  <c r="K45" i="60" s="1"/>
  <c r="H46" i="60"/>
  <c r="K46" i="60" s="1"/>
  <c r="H47" i="60"/>
  <c r="K47" i="60" s="1"/>
  <c r="H48" i="60"/>
  <c r="H37" i="60"/>
  <c r="K37" i="60" s="1"/>
  <c r="H39" i="60"/>
  <c r="K39" i="60" s="1"/>
  <c r="H40" i="60"/>
  <c r="K40" i="60" s="1"/>
  <c r="H34" i="60"/>
  <c r="K34" i="60" s="1"/>
  <c r="H11" i="60"/>
  <c r="K11" i="60" s="1"/>
  <c r="H12" i="60"/>
  <c r="K12" i="60" s="1"/>
  <c r="H13" i="60"/>
  <c r="K13" i="60" s="1"/>
  <c r="H14" i="60"/>
  <c r="K14" i="60" s="1"/>
  <c r="H16" i="60"/>
  <c r="K16" i="60" s="1"/>
  <c r="H17" i="60"/>
  <c r="K17" i="60" s="1"/>
  <c r="H18" i="60"/>
  <c r="K18" i="60" s="1"/>
  <c r="H22" i="60"/>
  <c r="K22" i="60" s="1"/>
  <c r="H23" i="60"/>
  <c r="K23" i="60" s="1"/>
  <c r="H26" i="60"/>
  <c r="K26" i="60" s="1"/>
  <c r="H27" i="60"/>
  <c r="K27" i="60" s="1"/>
  <c r="H28" i="60"/>
  <c r="K28" i="60" s="1"/>
  <c r="H29" i="60"/>
  <c r="K29" i="60" s="1"/>
  <c r="K48" i="60"/>
  <c r="K68" i="60" l="1"/>
  <c r="K53" i="60"/>
  <c r="I11" i="63" s="1"/>
  <c r="K11" i="63" s="1"/>
  <c r="K69" i="60" l="1"/>
  <c r="I12" i="63"/>
  <c r="K12" i="63" s="1"/>
  <c r="I13" i="63"/>
  <c r="K13" i="63" s="1"/>
  <c r="K19" i="63" s="1"/>
  <c r="G66" i="84" l="1"/>
  <c r="H66" i="84" s="1"/>
  <c r="K66" i="84" s="1"/>
  <c r="G65" i="84"/>
  <c r="H65" i="84" s="1"/>
  <c r="K65" i="84" s="1"/>
  <c r="G64" i="84"/>
  <c r="H64" i="84" s="1"/>
  <c r="K64" i="84" s="1"/>
  <c r="H63" i="84"/>
  <c r="K63" i="84" s="1"/>
  <c r="G62" i="84"/>
  <c r="H62" i="84" s="1"/>
  <c r="K62" i="84" s="1"/>
  <c r="G61" i="84"/>
  <c r="H61" i="84" s="1"/>
  <c r="K61" i="84" s="1"/>
  <c r="AJ60" i="84"/>
  <c r="AG60" i="84"/>
  <c r="AE60" i="84"/>
  <c r="AB60" i="84"/>
  <c r="W60" i="84"/>
  <c r="G60" i="84" s="1"/>
  <c r="H60" i="84" s="1"/>
  <c r="K60" i="84" s="1"/>
  <c r="T60" i="84"/>
  <c r="R60" i="84"/>
  <c r="AJ59" i="84"/>
  <c r="AE59" i="84"/>
  <c r="AB59" i="84"/>
  <c r="W59" i="84"/>
  <c r="G59" i="84" s="1"/>
  <c r="H59" i="84" s="1"/>
  <c r="K59" i="84" s="1"/>
  <c r="T59" i="84"/>
  <c r="R59" i="84"/>
  <c r="P58" i="84"/>
  <c r="O58" i="84"/>
  <c r="G58" i="84" s="1"/>
  <c r="H58" i="84" s="1"/>
  <c r="K58" i="84" s="1"/>
  <c r="N58" i="84"/>
  <c r="P57" i="84"/>
  <c r="G57" i="84"/>
  <c r="H57" i="84" s="1"/>
  <c r="K57" i="84" s="1"/>
  <c r="P56" i="84"/>
  <c r="O56" i="84"/>
  <c r="N56" i="84"/>
  <c r="G56" i="84"/>
  <c r="H56" i="84" s="1"/>
  <c r="K56" i="84" s="1"/>
  <c r="G55" i="84"/>
  <c r="H55" i="84" s="1"/>
  <c r="K55" i="84" s="1"/>
  <c r="G54" i="84"/>
  <c r="H54" i="84" s="1"/>
  <c r="K54" i="84" s="1"/>
  <c r="J52" i="84"/>
  <c r="G52" i="84"/>
  <c r="H52" i="84" s="1"/>
  <c r="J51" i="84"/>
  <c r="G51" i="84"/>
  <c r="H51" i="84" s="1"/>
  <c r="J50" i="84"/>
  <c r="G50" i="84"/>
  <c r="H50" i="84" s="1"/>
  <c r="J48" i="84"/>
  <c r="G48" i="84"/>
  <c r="H48" i="84" s="1"/>
  <c r="J47" i="84"/>
  <c r="G47" i="84"/>
  <c r="H47" i="84" s="1"/>
  <c r="K47" i="84" s="1"/>
  <c r="J46" i="84"/>
  <c r="G46" i="84"/>
  <c r="H46" i="84" s="1"/>
  <c r="J45" i="84"/>
  <c r="G45" i="84"/>
  <c r="H45" i="84" s="1"/>
  <c r="K45" i="84" s="1"/>
  <c r="J44" i="84"/>
  <c r="G44" i="84"/>
  <c r="H44" i="84" s="1"/>
  <c r="J43" i="84"/>
  <c r="G43" i="84"/>
  <c r="H43" i="84" s="1"/>
  <c r="J42" i="84"/>
  <c r="G42" i="84"/>
  <c r="H42" i="84" s="1"/>
  <c r="J40" i="84"/>
  <c r="G40" i="84"/>
  <c r="H40" i="84" s="1"/>
  <c r="K40" i="84" s="1"/>
  <c r="J39" i="84"/>
  <c r="G39" i="84"/>
  <c r="H39" i="84" s="1"/>
  <c r="J38" i="84"/>
  <c r="G38" i="84"/>
  <c r="H38" i="84" s="1"/>
  <c r="K38" i="84" s="1"/>
  <c r="J37" i="84"/>
  <c r="G37" i="84"/>
  <c r="H37" i="84" s="1"/>
  <c r="J36" i="84"/>
  <c r="G36" i="84"/>
  <c r="H36" i="84" s="1"/>
  <c r="K36" i="84" s="1"/>
  <c r="J35" i="84"/>
  <c r="G35" i="84"/>
  <c r="H35" i="84" s="1"/>
  <c r="J34" i="84"/>
  <c r="G34" i="84"/>
  <c r="H34" i="84" s="1"/>
  <c r="K34" i="84" s="1"/>
  <c r="J32" i="84"/>
  <c r="H32" i="84"/>
  <c r="G32" i="84"/>
  <c r="J30" i="84"/>
  <c r="G30" i="84"/>
  <c r="H30" i="84" s="1"/>
  <c r="J29" i="84"/>
  <c r="G29" i="84"/>
  <c r="H29" i="84" s="1"/>
  <c r="J28" i="84"/>
  <c r="G28" i="84"/>
  <c r="H28" i="84" s="1"/>
  <c r="J27" i="84"/>
  <c r="G27" i="84"/>
  <c r="H27" i="84" s="1"/>
  <c r="J26" i="84"/>
  <c r="G26" i="84"/>
  <c r="H26" i="84" s="1"/>
  <c r="J25" i="84"/>
  <c r="G25" i="84"/>
  <c r="H25" i="84" s="1"/>
  <c r="J24" i="84"/>
  <c r="G24" i="84"/>
  <c r="H24" i="84" s="1"/>
  <c r="J23" i="84"/>
  <c r="G23" i="84"/>
  <c r="H23" i="84" s="1"/>
  <c r="J22" i="84"/>
  <c r="G22" i="84"/>
  <c r="H22" i="84" s="1"/>
  <c r="J21" i="84"/>
  <c r="G21" i="84"/>
  <c r="H21" i="84" s="1"/>
  <c r="J20" i="84"/>
  <c r="G20" i="84"/>
  <c r="H20" i="84" s="1"/>
  <c r="J19" i="84"/>
  <c r="G19" i="84"/>
  <c r="H19" i="84" s="1"/>
  <c r="K19" i="84" s="1"/>
  <c r="J18" i="84"/>
  <c r="G18" i="84"/>
  <c r="H18" i="84" s="1"/>
  <c r="J17" i="84"/>
  <c r="G17" i="84"/>
  <c r="H17" i="84" s="1"/>
  <c r="J16" i="84"/>
  <c r="G16" i="84"/>
  <c r="H16" i="84" s="1"/>
  <c r="J15" i="84"/>
  <c r="G15" i="84"/>
  <c r="H15" i="84" s="1"/>
  <c r="J14" i="84"/>
  <c r="G14" i="84"/>
  <c r="H14" i="84" s="1"/>
  <c r="J13" i="84"/>
  <c r="G13" i="84"/>
  <c r="H13" i="84" s="1"/>
  <c r="K13" i="84" s="1"/>
  <c r="J12" i="84"/>
  <c r="G12" i="84"/>
  <c r="H12" i="84" s="1"/>
  <c r="J11" i="84"/>
  <c r="G11" i="84"/>
  <c r="H11" i="84" s="1"/>
  <c r="J10" i="84"/>
  <c r="G10" i="84"/>
  <c r="H10" i="84" s="1"/>
  <c r="K10" i="84" s="1"/>
  <c r="K43" i="84" l="1"/>
  <c r="K37" i="84"/>
  <c r="K52" i="84"/>
  <c r="K25" i="84"/>
  <c r="K44" i="84"/>
  <c r="K51" i="84"/>
  <c r="K35" i="84"/>
  <c r="K42" i="84"/>
  <c r="K48" i="84"/>
  <c r="K50" i="84"/>
  <c r="K12" i="84"/>
  <c r="K18" i="84"/>
  <c r="K24" i="84"/>
  <c r="K30" i="84"/>
  <c r="K14" i="84"/>
  <c r="K69" i="84" s="1"/>
  <c r="K20" i="84"/>
  <c r="K26" i="84"/>
  <c r="K15" i="84"/>
  <c r="K21" i="84"/>
  <c r="K27" i="84"/>
  <c r="K11" i="84"/>
  <c r="K17" i="84"/>
  <c r="K23" i="84"/>
  <c r="K29" i="84"/>
  <c r="K16" i="84"/>
  <c r="K22" i="84"/>
  <c r="K28" i="84"/>
  <c r="K32" i="84"/>
  <c r="K39" i="84"/>
  <c r="K46" i="84"/>
  <c r="K68" i="84"/>
  <c r="K53" i="84" l="1"/>
  <c r="G72" i="82" l="1"/>
  <c r="H72" i="82" s="1"/>
  <c r="K72" i="82" s="1"/>
  <c r="P71" i="82"/>
  <c r="G71" i="82" s="1"/>
  <c r="H71" i="82" s="1"/>
  <c r="K71" i="82" s="1"/>
  <c r="P70" i="82"/>
  <c r="G70" i="82" s="1"/>
  <c r="H70" i="82" s="1"/>
  <c r="K70" i="82" s="1"/>
  <c r="G69" i="82"/>
  <c r="H69" i="82" s="1"/>
  <c r="K69" i="82" s="1"/>
  <c r="T68" i="82"/>
  <c r="R68" i="82"/>
  <c r="G68" i="82" s="1"/>
  <c r="H68" i="82" s="1"/>
  <c r="K68" i="82" s="1"/>
  <c r="T67" i="82"/>
  <c r="R67" i="82"/>
  <c r="G67" i="82" s="1"/>
  <c r="H67" i="82" s="1"/>
  <c r="K67" i="82" s="1"/>
  <c r="P66" i="82"/>
  <c r="G66" i="82" s="1"/>
  <c r="H66" i="82" s="1"/>
  <c r="K66" i="82" s="1"/>
  <c r="G65" i="82"/>
  <c r="H65" i="82" s="1"/>
  <c r="K65" i="82" s="1"/>
  <c r="G64" i="82"/>
  <c r="H64" i="82" s="1"/>
  <c r="K64" i="82" s="1"/>
  <c r="J59" i="82"/>
  <c r="G59" i="82"/>
  <c r="H59" i="82" s="1"/>
  <c r="J58" i="82"/>
  <c r="G58" i="82"/>
  <c r="H58" i="82" s="1"/>
  <c r="J57" i="82"/>
  <c r="G57" i="82"/>
  <c r="H57" i="82" s="1"/>
  <c r="J55" i="82"/>
  <c r="G55" i="82"/>
  <c r="H55" i="82" s="1"/>
  <c r="J54" i="82"/>
  <c r="G54" i="82"/>
  <c r="H54" i="82" s="1"/>
  <c r="K54" i="82" s="1"/>
  <c r="J53" i="82"/>
  <c r="G53" i="82"/>
  <c r="H53" i="82" s="1"/>
  <c r="K53" i="82" s="1"/>
  <c r="J52" i="82"/>
  <c r="G52" i="82"/>
  <c r="H52" i="82" s="1"/>
  <c r="K52" i="82" s="1"/>
  <c r="J51" i="82"/>
  <c r="G51" i="82"/>
  <c r="H51" i="82" s="1"/>
  <c r="J50" i="82"/>
  <c r="G50" i="82"/>
  <c r="H50" i="82" s="1"/>
  <c r="J49" i="82"/>
  <c r="G49" i="82"/>
  <c r="H49" i="82" s="1"/>
  <c r="J47" i="82"/>
  <c r="G47" i="82"/>
  <c r="H47" i="82" s="1"/>
  <c r="K47" i="82" s="1"/>
  <c r="J46" i="82"/>
  <c r="G46" i="82"/>
  <c r="H46" i="82" s="1"/>
  <c r="K46" i="82" s="1"/>
  <c r="J45" i="82"/>
  <c r="G45" i="82"/>
  <c r="H45" i="82" s="1"/>
  <c r="K45" i="82" s="1"/>
  <c r="J44" i="82"/>
  <c r="G44" i="82"/>
  <c r="H44" i="82" s="1"/>
  <c r="J43" i="82"/>
  <c r="G43" i="82"/>
  <c r="H43" i="82" s="1"/>
  <c r="J42" i="82"/>
  <c r="G42" i="82"/>
  <c r="H42" i="82" s="1"/>
  <c r="J41" i="82"/>
  <c r="G41" i="82"/>
  <c r="H41" i="82" s="1"/>
  <c r="K41" i="82" s="1"/>
  <c r="J39" i="82"/>
  <c r="G39" i="82"/>
  <c r="H39" i="82" s="1"/>
  <c r="K39" i="82" s="1"/>
  <c r="J34" i="82"/>
  <c r="G34" i="82"/>
  <c r="H34" i="82" s="1"/>
  <c r="K34" i="82" s="1"/>
  <c r="J33" i="82"/>
  <c r="G33" i="82"/>
  <c r="H33" i="82" s="1"/>
  <c r="J32" i="82"/>
  <c r="G32" i="82"/>
  <c r="H32" i="82" s="1"/>
  <c r="J31" i="82"/>
  <c r="G31" i="82"/>
  <c r="H31" i="82" s="1"/>
  <c r="G30" i="82"/>
  <c r="G29" i="82"/>
  <c r="G28" i="82"/>
  <c r="J27" i="82"/>
  <c r="G27" i="82"/>
  <c r="H27" i="82" s="1"/>
  <c r="J26" i="82"/>
  <c r="G26" i="82"/>
  <c r="H26" i="82" s="1"/>
  <c r="J25" i="82"/>
  <c r="G25" i="82"/>
  <c r="H25" i="82" s="1"/>
  <c r="J24" i="82"/>
  <c r="G24" i="82"/>
  <c r="H24" i="82" s="1"/>
  <c r="J23" i="82"/>
  <c r="G23" i="82"/>
  <c r="H23" i="82" s="1"/>
  <c r="J22" i="82"/>
  <c r="G22" i="82"/>
  <c r="H22" i="82" s="1"/>
  <c r="J21" i="82"/>
  <c r="G21" i="82"/>
  <c r="H21" i="82" s="1"/>
  <c r="J20" i="82"/>
  <c r="G20" i="82"/>
  <c r="H20" i="82" s="1"/>
  <c r="G19" i="82"/>
  <c r="J18" i="82"/>
  <c r="G18" i="82"/>
  <c r="H18" i="82" s="1"/>
  <c r="J17" i="82"/>
  <c r="G17" i="82"/>
  <c r="H17" i="82" s="1"/>
  <c r="J16" i="82"/>
  <c r="G16" i="82"/>
  <c r="H16" i="82" s="1"/>
  <c r="K16" i="82" s="1"/>
  <c r="J15" i="82"/>
  <c r="G15" i="82"/>
  <c r="H15" i="82" s="1"/>
  <c r="J14" i="82"/>
  <c r="G14" i="82"/>
  <c r="H14" i="82" s="1"/>
  <c r="K14" i="82" s="1"/>
  <c r="J13" i="82"/>
  <c r="G13" i="82"/>
  <c r="H13" i="82" s="1"/>
  <c r="K13" i="82" s="1"/>
  <c r="J12" i="82"/>
  <c r="G12" i="82"/>
  <c r="H12" i="82" s="1"/>
  <c r="J11" i="82"/>
  <c r="G11" i="82"/>
  <c r="H11" i="82" s="1"/>
  <c r="J10" i="82"/>
  <c r="G10" i="82"/>
  <c r="H10" i="82" s="1"/>
  <c r="K11" i="82" l="1"/>
  <c r="K33" i="82"/>
  <c r="K44" i="82"/>
  <c r="K51" i="82"/>
  <c r="K58" i="82"/>
  <c r="K26" i="82"/>
  <c r="K21" i="82"/>
  <c r="K27" i="82"/>
  <c r="K22" i="82"/>
  <c r="K23" i="82"/>
  <c r="K59" i="82"/>
  <c r="K24" i="82"/>
  <c r="K15" i="82"/>
  <c r="K31" i="82"/>
  <c r="K42" i="82"/>
  <c r="K49" i="82"/>
  <c r="K55" i="82"/>
  <c r="K12" i="82"/>
  <c r="K18" i="82"/>
  <c r="K32" i="82"/>
  <c r="K43" i="82"/>
  <c r="K50" i="82"/>
  <c r="K57" i="82"/>
  <c r="K17" i="82"/>
  <c r="K25" i="82"/>
  <c r="K20" i="82"/>
  <c r="H73" i="82"/>
  <c r="O28" i="81"/>
  <c r="N28" i="81"/>
  <c r="R27" i="81"/>
  <c r="R26" i="81"/>
  <c r="R25" i="81"/>
  <c r="Q23" i="81"/>
  <c r="P23" i="81"/>
  <c r="T21" i="81"/>
  <c r="S21" i="81"/>
  <c r="Q21" i="81"/>
  <c r="P21" i="81"/>
  <c r="J21" i="81"/>
  <c r="J54" i="81" s="1"/>
  <c r="H21" i="81"/>
  <c r="G21" i="81"/>
  <c r="R20" i="81"/>
  <c r="R19" i="81"/>
  <c r="Q18" i="81"/>
  <c r="P18" i="81"/>
  <c r="G17" i="81"/>
  <c r="H17" i="81" s="1"/>
  <c r="K17" i="81" s="1"/>
  <c r="S16" i="81"/>
  <c r="Q16" i="81"/>
  <c r="P16" i="81"/>
  <c r="R16" i="81" s="1"/>
  <c r="T15" i="81"/>
  <c r="Q15" i="81"/>
  <c r="P15" i="81"/>
  <c r="T14" i="81"/>
  <c r="S14" i="81"/>
  <c r="Q14" i="81"/>
  <c r="P14" i="81"/>
  <c r="Q12" i="81"/>
  <c r="P12" i="81"/>
  <c r="Q11" i="81"/>
  <c r="P11" i="81"/>
  <c r="Q10" i="81"/>
  <c r="P10" i="81"/>
  <c r="Q9" i="81"/>
  <c r="P9" i="81"/>
  <c r="G8" i="81"/>
  <c r="H8" i="81" s="1"/>
  <c r="J52" i="60"/>
  <c r="J51" i="60"/>
  <c r="J50" i="60"/>
  <c r="J48" i="60"/>
  <c r="J47" i="60"/>
  <c r="J46" i="60"/>
  <c r="J45" i="60"/>
  <c r="J44" i="60"/>
  <c r="J43" i="60"/>
  <c r="J42" i="60"/>
  <c r="J40" i="60"/>
  <c r="J39" i="60"/>
  <c r="J38" i="60"/>
  <c r="J37" i="60"/>
  <c r="J36" i="60"/>
  <c r="J35" i="60"/>
  <c r="J34" i="60"/>
  <c r="J32" i="60"/>
  <c r="R10" i="81" l="1"/>
  <c r="R21" i="81"/>
  <c r="R9" i="81"/>
  <c r="R15" i="81"/>
  <c r="K21" i="81"/>
  <c r="K73" i="82"/>
  <c r="S13" i="81"/>
  <c r="S28" i="81" s="1"/>
  <c r="R18" i="81"/>
  <c r="R17" i="81" s="1"/>
  <c r="R23" i="81"/>
  <c r="R22" i="81" s="1"/>
  <c r="R14" i="81"/>
  <c r="T13" i="81"/>
  <c r="T28" i="81" s="1"/>
  <c r="R11" i="81"/>
  <c r="R12" i="81"/>
  <c r="K8" i="81"/>
  <c r="G8" i="21"/>
  <c r="G8" i="66"/>
  <c r="G12" i="70"/>
  <c r="G13" i="70"/>
  <c r="G17" i="70"/>
  <c r="G8" i="70"/>
  <c r="G8" i="71"/>
  <c r="G17" i="66"/>
  <c r="G13" i="66"/>
  <c r="G12" i="66"/>
  <c r="Q17" i="66"/>
  <c r="Q24" i="66" s="1"/>
  <c r="P17" i="66"/>
  <c r="P24" i="66" s="1"/>
  <c r="S17" i="21"/>
  <c r="Q17" i="21"/>
  <c r="P17" i="21"/>
  <c r="G9" i="71"/>
  <c r="S9" i="71"/>
  <c r="S17" i="71" s="1"/>
  <c r="R8" i="71"/>
  <c r="Q9" i="71"/>
  <c r="P9" i="71"/>
  <c r="T17" i="71"/>
  <c r="N17" i="71"/>
  <c r="S17" i="70"/>
  <c r="S26" i="70" s="1"/>
  <c r="R22" i="70"/>
  <c r="R23" i="70"/>
  <c r="R21" i="70"/>
  <c r="R18" i="70"/>
  <c r="Q17" i="70"/>
  <c r="Q26" i="70" s="1"/>
  <c r="P17" i="70"/>
  <c r="P26" i="70" s="1"/>
  <c r="R15" i="70"/>
  <c r="R16" i="70"/>
  <c r="Q14" i="70"/>
  <c r="P14" i="70"/>
  <c r="R12" i="70"/>
  <c r="Q9" i="70"/>
  <c r="Q11" i="70"/>
  <c r="P11" i="70"/>
  <c r="Q10" i="70"/>
  <c r="P10" i="70"/>
  <c r="P9" i="70"/>
  <c r="T26" i="70"/>
  <c r="N26" i="70"/>
  <c r="Q14" i="66"/>
  <c r="P14" i="66"/>
  <c r="S17" i="66"/>
  <c r="S24" i="66" s="1"/>
  <c r="R22" i="66"/>
  <c r="R23" i="66"/>
  <c r="R21" i="66"/>
  <c r="Q18" i="66"/>
  <c r="P18" i="66"/>
  <c r="R18" i="66" s="1"/>
  <c r="R15" i="66"/>
  <c r="R16" i="66"/>
  <c r="R12" i="66"/>
  <c r="R9" i="66"/>
  <c r="Q11" i="66"/>
  <c r="P11" i="66"/>
  <c r="Q10" i="66"/>
  <c r="P10" i="66"/>
  <c r="R10" i="66" s="1"/>
  <c r="N24" i="66"/>
  <c r="T24" i="66"/>
  <c r="G17" i="21"/>
  <c r="R20" i="21"/>
  <c r="R21" i="21"/>
  <c r="R19" i="21"/>
  <c r="N13" i="21"/>
  <c r="N23" i="21" s="1"/>
  <c r="T17" i="21"/>
  <c r="T13" i="21"/>
  <c r="S13" i="21"/>
  <c r="Q16" i="21"/>
  <c r="Q15" i="21"/>
  <c r="Q14" i="21"/>
  <c r="P16" i="21"/>
  <c r="R16" i="21" s="1"/>
  <c r="P15" i="21"/>
  <c r="P14" i="21"/>
  <c r="R10" i="21"/>
  <c r="R11" i="21"/>
  <c r="R9" i="21"/>
  <c r="Q12" i="21"/>
  <c r="P12" i="21"/>
  <c r="T23" i="21" l="1"/>
  <c r="R11" i="70"/>
  <c r="R8" i="81"/>
  <c r="R13" i="81"/>
  <c r="R12" i="21"/>
  <c r="R8" i="21" s="1"/>
  <c r="R14" i="70"/>
  <c r="R13" i="70" s="1"/>
  <c r="S23" i="21"/>
  <c r="G13" i="81"/>
  <c r="H13" i="81" s="1"/>
  <c r="K13" i="81" s="1"/>
  <c r="R15" i="21"/>
  <c r="R14" i="21"/>
  <c r="G13" i="21"/>
  <c r="R9" i="71"/>
  <c r="R17" i="71" s="1"/>
  <c r="R17" i="66"/>
  <c r="R11" i="66"/>
  <c r="R8" i="66" s="1"/>
  <c r="R17" i="70"/>
  <c r="H54" i="81"/>
  <c r="K54" i="81"/>
  <c r="R17" i="21"/>
  <c r="R28" i="81"/>
  <c r="R9" i="70"/>
  <c r="R10" i="70"/>
  <c r="R14" i="66"/>
  <c r="R13" i="66" s="1"/>
  <c r="R13" i="21" l="1"/>
  <c r="R23" i="21" s="1"/>
  <c r="R8" i="70"/>
  <c r="R26" i="70" s="1"/>
  <c r="R24" i="66"/>
  <c r="H8" i="71" l="1"/>
  <c r="K8" i="71" s="1"/>
  <c r="H13" i="66"/>
  <c r="H9" i="71"/>
  <c r="K9" i="71" s="1"/>
  <c r="H17" i="70"/>
  <c r="K17" i="70" s="1"/>
  <c r="H13" i="70"/>
  <c r="K13" i="70" s="1"/>
  <c r="H12" i="70"/>
  <c r="K12" i="70" s="1"/>
  <c r="H8" i="70"/>
  <c r="K8" i="70" s="1"/>
  <c r="K17" i="71" l="1"/>
  <c r="J17" i="71"/>
  <c r="J26" i="70"/>
  <c r="H12" i="66"/>
  <c r="K12" i="66" s="1"/>
  <c r="H17" i="66"/>
  <c r="K17" i="66" s="1"/>
  <c r="H17" i="21"/>
  <c r="K17" i="21" s="1"/>
  <c r="H17" i="71" l="1"/>
  <c r="K26" i="70"/>
  <c r="H26" i="7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24" i="66" l="1"/>
  <c r="K13" i="66"/>
  <c r="H8" i="66"/>
  <c r="H13" i="21"/>
  <c r="K13" i="21" s="1"/>
  <c r="H8" i="21"/>
  <c r="J15" i="60"/>
  <c r="J14" i="60"/>
  <c r="K8" i="21" l="1"/>
  <c r="K23" i="21" s="1"/>
  <c r="H23" i="21"/>
  <c r="K8" i="66"/>
  <c r="K24" i="66" s="1"/>
  <c r="H24" i="66"/>
  <c r="A11" i="64"/>
  <c r="C3" i="64"/>
  <c r="E3" i="63" l="1"/>
  <c r="J12" i="60"/>
  <c r="J13" i="60"/>
  <c r="J11" i="60"/>
  <c r="J10" i="60"/>
  <c r="E3" i="57"/>
  <c r="A11" i="41"/>
  <c r="E6" i="41"/>
  <c r="D3" i="41"/>
  <c r="D2" i="41"/>
  <c r="F6" i="40"/>
  <c r="E4" i="40"/>
  <c r="E3" i="40"/>
  <c r="E2" i="40"/>
  <c r="J23" i="21"/>
  <c r="D4" i="41" l="1"/>
  <c r="I10" i="40" l="1"/>
  <c r="J10" i="40" l="1"/>
  <c r="K10" i="40" s="1"/>
  <c r="K18" i="40" s="1"/>
  <c r="K19" i="40" s="1"/>
  <c r="H11" i="41" s="1"/>
  <c r="H20" i="41" s="1"/>
  <c r="B21" i="41" s="1"/>
  <c r="A19" i="40" l="1"/>
  <c r="A20" i="63" l="1"/>
  <c r="G12" i="64"/>
  <c r="I11" i="57" l="1"/>
  <c r="K11" i="57" s="1"/>
  <c r="I23" i="57" l="1"/>
  <c r="K23" i="57" s="1"/>
  <c r="I17" i="57"/>
  <c r="K17" i="57" s="1"/>
  <c r="K25" i="57"/>
  <c r="I14" i="57" l="1"/>
  <c r="K14" i="57" s="1"/>
  <c r="I20" i="57"/>
  <c r="K20" i="57" s="1"/>
  <c r="K31" i="57" l="1"/>
  <c r="G11" i="64" s="1"/>
  <c r="G30" i="64" s="1"/>
  <c r="A32" i="57" l="1"/>
  <c r="B31" i="64"/>
</calcChain>
</file>

<file path=xl/sharedStrings.xml><?xml version="1.0" encoding="utf-8"?>
<sst xmlns="http://schemas.openxmlformats.org/spreadsheetml/2006/main" count="1179" uniqueCount="291">
  <si>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</si>
  <si>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</si>
  <si>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</si>
  <si>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</si>
  <si>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</si>
  <si>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</si>
  <si>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</si>
  <si>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</si>
  <si>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</si>
  <si>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</si>
  <si>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</si>
  <si>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</si>
  <si>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</si>
  <si>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</si>
  <si>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</si>
  <si>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</si>
  <si>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</si>
  <si>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</si>
  <si>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</si>
  <si>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</si>
  <si>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</si>
  <si>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</si>
  <si>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</si>
  <si>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</si>
  <si>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</si>
  <si>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</si>
  <si>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</si>
  <si>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</t>
  </si>
  <si>
    <t>งานก่อสร้าง</t>
  </si>
  <si>
    <t>แบบ ปร.4 ที่แนบ</t>
  </si>
  <si>
    <t>ผู้ประมาณราคา</t>
  </si>
  <si>
    <t>รับรองความถูกต้อง</t>
  </si>
  <si>
    <t>ตรวจสอบความถูกต้อง</t>
  </si>
  <si>
    <t>งานปรับปรุง/ ซ่อมแซม</t>
  </si>
  <si>
    <t xml:space="preserve">ส่วนค่างานต้นทุน </t>
  </si>
  <si>
    <t xml:space="preserve">นักวิเคราะห์นโยบายและแผน </t>
  </si>
  <si>
    <t xml:space="preserve">ผู้อำนวยการกลุ่มนโยบายและแผน </t>
  </si>
  <si>
    <t>ส่วนค่างาน</t>
  </si>
  <si>
    <t>แบบ ปร. 6</t>
  </si>
  <si>
    <t>แบบ ปร.5(ก)</t>
  </si>
  <si>
    <t>สรุปค่าปรับปรุง ซ่อมแซม</t>
  </si>
  <si>
    <t>สพป.ปัตตานี เขต 2</t>
  </si>
  <si>
    <t>ผู้อำนวยการโรงเรียน......................................</t>
  </si>
  <si>
    <t>ผู้อำนวยการโรงเรียน........................................</t>
  </si>
  <si>
    <t>แบบ ปร.4 ปร.5 ปร.6   ทั้งหมด</t>
  </si>
  <si>
    <t>(....................................................)</t>
  </si>
  <si>
    <t>(...................................................)</t>
  </si>
  <si>
    <t>(……………………………….......……..)</t>
  </si>
  <si>
    <t>สำนักงานปรมาณูเพื่อสันติ  กรุงเทพฯ</t>
  </si>
  <si>
    <t>งาน</t>
  </si>
  <si>
    <t>ชุด</t>
  </si>
  <si>
    <t>ตัว</t>
  </si>
  <si>
    <t>ตู้</t>
  </si>
  <si>
    <t>เก้าอี้ปฏิบัติการ</t>
  </si>
  <si>
    <t>ค่าภาษี</t>
  </si>
  <si>
    <t>งานติดฟิล์ม</t>
  </si>
  <si>
    <t>เงื่อนไขการใช้ตาราง Factor F</t>
  </si>
  <si>
    <t>เงื่อนไขล่วงหน้าจ่าย            0 %</t>
  </si>
  <si>
    <t>ภาษีมูลค่าเพิ่ม                    7 %</t>
  </si>
  <si>
    <t>เก้าอี้สำนักงาน</t>
  </si>
  <si>
    <t>ห้อง Radiological Chemistry Lab Fow-Dose ห้อง 31 ชั้น 9 อาคาร 60 ปี ปส</t>
  </si>
  <si>
    <t>โต๊ะปฏิบัติการกลาง ขนาด 3000x1200x850 มม.</t>
  </si>
  <si>
    <t>โต๊ะปฏิบัติการติดผนัง ขนาด 5700x750x800 มม. (ซิงค์ 2 หลุม)</t>
  </si>
  <si>
    <t>ตู้เก็บอุปกรณ์ ขนาด 1200x600x1800 มม.</t>
  </si>
  <si>
    <t>ตู้ดูดไอสารเคมี ขนาด 1500x900x2350 มม. (พร้อมชุดกำจัดไอกรด)</t>
  </si>
  <si>
    <t>ชุดล้างตาล้างตัวฉุกเฉิน (สแตนเลส 304)</t>
  </si>
  <si>
    <t>ตู้เก็บอุปกรณ์ ขนาด 1000x600x1800 มม.</t>
  </si>
  <si>
    <t>ตู้เก็บเสื้อกาวน์ ขนาด 1000x600x1800 มม.</t>
  </si>
  <si>
    <t>ตู้เก็บรองเท้า ขนาด 800x400x1000 มม.</t>
  </si>
  <si>
    <t>โต๊ะปฏิบัติการกลาง ขนาด 1500x1500x800 มม.</t>
  </si>
  <si>
    <t>โต๊ะวางเครื่องชั่ง ขนาด 800x600x800 มม. (โครงเหล็ก)</t>
  </si>
  <si>
    <t>โต๊ะวางเครื่องชั่ง ขนาด 800x600x800 มม. (หินทั้งตัว)</t>
  </si>
  <si>
    <t>รถเข็นอุปกรณ์ ขนาด 880x520x800 มม.</t>
  </si>
  <si>
    <t>ชั้นวางอุปกรณ์ ขนาด 1000x500x1800 มม.</t>
  </si>
  <si>
    <t>ตู้เก็บสารเคมี ขนาด 1200x580x1920 มม.</t>
  </si>
  <si>
    <t>ตู้เก็บสารเคมี ขนาด 1200x580x1920 มม. (กันระเบิด)</t>
  </si>
  <si>
    <t>คัน</t>
  </si>
  <si>
    <t>WASTE STORGE ROOM ห้อง 30 ชั้น 9 อาคาร 60 ปี ปส.</t>
  </si>
  <si>
    <t>โต๊ะปฏิบัติการติดผนัง ขนาด 5200x750x800 มม.</t>
  </si>
  <si>
    <t>โต๊ะวางเครื่องชั่ง ขนาด 800x600x800 มม.</t>
  </si>
  <si>
    <t>ตู้เก็บเสื้อกาวน์ ขนาด 1200x600x1800 มม.</t>
  </si>
  <si>
    <t>ชุดล้างตัวล้างตาฉุกเฉิน (สแตนเลส 304)</t>
  </si>
  <si>
    <t>โต๊ะปฏิบัติการกลาง ขนาด 3600x1500x850 มม.</t>
  </si>
  <si>
    <t>โต๊ะปฏิบัติการติดผนัง ขนาด 17750x750x800 มม.</t>
  </si>
  <si>
    <t>ตู้เก็บเอกสาร ขนาด 800x400x1800 มม.</t>
  </si>
  <si>
    <t>ตู้ดูดไอสารเคมี ขนาด 1500x900x2350 มม. (พร้อมชุดกำจัดไอสารเคมี)</t>
  </si>
  <si>
    <t>ตู้ล็อคเกอร์ 12 ช่อง ขนาด 900x400x1800 มม.</t>
  </si>
  <si>
    <t>โต๊ะปฏิบัติการติดผนัง ขนาด 5080x750x800 มม. (ซิงค์ 2 หลุม)</t>
  </si>
  <si>
    <t>ตู้ดูดไอสารเคมี ขนาด 1500x900x2350 มม. (พร้อมชุดกรองฟิลเตอร์)</t>
  </si>
  <si>
    <t>ตู้ดูดไอสารเคมี ขนาด 1500x850x2350 มม. (พร้อมชุดกรองฟิลเตอร์)</t>
  </si>
  <si>
    <t>โต๊ะปฏิบัติการติดผนัง ขนาด 6100x750x800 มม. (สแตนเลส)</t>
  </si>
  <si>
    <t>ห้อง RADIO CHEM HIGH DOSE ห้อง 44 ชั้น 9 อาคาร 60 ปี ปส.</t>
  </si>
  <si>
    <t>โต๊ะทำงาน ขนาด 1500/1200x600x750 มม.</t>
  </si>
  <si>
    <t>ห้อง Radiological Chemistry Lab Fow-Dose ห้อง 31 ชั้น 9 อาคาร 60 ปี ปส ประกอบด้วย</t>
  </si>
  <si>
    <t xml:space="preserve">ห้อง Radiological Chemistry Lab Fow-Dose ห้อง 31 ชั้น 9 อาคาร 60 ปี ปส </t>
  </si>
  <si>
    <t>ACCESS  DOOR 1 จุด</t>
  </si>
  <si>
    <t>งานเทพื้นอีพร๊อกซี่</t>
  </si>
  <si>
    <t>งานกั้นผนังห้องพร้อมบานประตู</t>
  </si>
  <si>
    <t>งานระบบน้ำประปาและน้ำทิ้ง</t>
  </si>
  <si>
    <t xml:space="preserve">จัดตั้งห้องปฏิบัติการทางเคมีรังสีและห้องเตรียมตัวอย่างพร้อมอุปกรณ์ประกอบ จำนวน 1 ห้อง </t>
  </si>
  <si>
    <t>งานติดฟิล์ม , กั้นห้องพร้อมบานประตู , ACCESS  DOOR 1 จุด</t>
  </si>
  <si>
    <t>งานติดฟิล์ม , ACCESS  DOOR 1 จุด , งานเทพื้นอีพร๊อกซี่</t>
  </si>
  <si>
    <t>งานติดฟิล์ม , กั้นห้องพร้อมบานประตู , ACCESS  DOOR 3 จุด</t>
  </si>
  <si>
    <t>ACCESS  DOOR 3 จุด</t>
  </si>
  <si>
    <t>ห้อง CLOTH CHANGING ห้อง 47 ชั้น 9 อาคาร 60 ปี ปส.</t>
  </si>
  <si>
    <t>ห้อง RADIO CHEM HIGH DOSE ห้อง 42 ชั้น 9 อาคาร 60 ปี ปส.</t>
  </si>
  <si>
    <t>ท่อน้ำประปาและท่อน้ำทิ้ง , งานเทพื้นอีพร๊อกซี่</t>
  </si>
  <si>
    <t>งานติดฟิล์ม ,  ACCESS  DOOR 1 จุด , งาน Coring  2 จุด พร้อมติดตั้ง</t>
  </si>
  <si>
    <t xml:space="preserve"> งาน Coring  7 จุด พร้อมติดตั้งท่อน้ำประปาและท่อน้ำทิ้ง , งานเทพื้นอีพร๊อกซี่</t>
  </si>
  <si>
    <t>บริษัท ดับเบิ้ลยูเอสการช่าง   12 ธันวาคม 2565</t>
  </si>
  <si>
    <t>บริษัท well done 18/2/66</t>
  </si>
  <si>
    <t>ตารางการเปรียบเทียบราคา เพื่อจัดทำราคากลาง</t>
  </si>
  <si>
    <t xml:space="preserve">ชุดถ่ายภาพในไมโครเพลต </t>
  </si>
  <si>
    <t xml:space="preserve">เครื่องนับเซลล์ </t>
  </si>
  <si>
    <t xml:space="preserve">เครื่องดูดจ่ายสารละลายได้พร้อมกัน 8 ช่อง </t>
  </si>
  <si>
    <t xml:space="preserve">เครื่องดูดจ่ายสารละลายแบบ 1 ช่อง </t>
  </si>
  <si>
    <t>เครื่อง</t>
  </si>
  <si>
    <t>โหล</t>
  </si>
  <si>
    <t xml:space="preserve">เครื่องปั่นเหวี่ยง </t>
  </si>
  <si>
    <t xml:space="preserve">บีกเกอร์พลาสติก </t>
  </si>
  <si>
    <t xml:space="preserve">เครื่องดูดจ่ายสารละลายแบบมือถือ </t>
  </si>
  <si>
    <t>บริษัท อินโนเวชัน เทคโนโลยี จำกัด 25/1/65</t>
  </si>
  <si>
    <t>บริษัท well done 18/2/66  *ค่าติดตั้ง 2 แสน</t>
  </si>
  <si>
    <t>ชุดถ่ายภาพเซลล์.pdf</t>
  </si>
  <si>
    <t>ชุดถ่ายภาพเซลล์2.pdf</t>
  </si>
  <si>
    <t>เครื่องนับเซลล์ 1.pdf</t>
  </si>
  <si>
    <t>เครื่องนับเซลล์ 2.pdf</t>
  </si>
  <si>
    <t>ชุดดูดจ่ายสารละลาย 8 ช่อง.pdf</t>
  </si>
  <si>
    <t>ชุดดูดจ่ายสารละลาย 1 ช่อง.pdf</t>
  </si>
  <si>
    <t>เครื่องดูดจ่ายสารละลายแบบมือถือ.pdf</t>
  </si>
  <si>
    <t>เครื่องปั่นเหวี่ยง.pdf</t>
  </si>
  <si>
    <t>เครื่องปั่นเหวี่ยง2.pdf</t>
  </si>
  <si>
    <r>
      <t>บริ</t>
    </r>
    <r>
      <rPr>
        <b/>
        <sz val="14"/>
        <rFont val="TH Sarabun New"/>
        <family val="2"/>
      </rPr>
      <t>ษัท ดีไซน์ ออลเทอร์เนทีฟ จำกัด 16/02/2566</t>
    </r>
  </si>
  <si>
    <t>บริษัทเขียนแบบ</t>
  </si>
  <si>
    <t>ใบเสนอราคา_Welldone.pdf</t>
  </si>
  <si>
    <t>ใบเสนอราคา อินโนเวชัน.pdf</t>
  </si>
  <si>
    <t>QS202304025.pdf</t>
  </si>
  <si>
    <t>ขวดแก้วทนความร้อน แบบมีฝาเกลียวปากแคบ ขนาดละ</t>
  </si>
  <si>
    <t>คณะกรรมการกำหนดราคากลาง</t>
  </si>
  <si>
    <t>Cable &amp; Conduit &amp; Acessories</t>
  </si>
  <si>
    <t>ระบบไฟฟ้า สำหรับตู้ดูดควัน</t>
  </si>
  <si>
    <t>งานอื่นๆ</t>
  </si>
  <si>
    <t>ค่าขนส่ง ขนย้าย</t>
  </si>
  <si>
    <t xml:space="preserve">งาน protect safty </t>
  </si>
  <si>
    <t>ค่าดำเนินงาน</t>
  </si>
  <si>
    <t>งานเก็บฝ้า</t>
  </si>
  <si>
    <t>SSL0191-1 คุณวราลี ปรมาณู.pdf</t>
  </si>
  <si>
    <t>ใบเสนอราคาบ.ดีไซน์ฯ-2.pdf</t>
  </si>
  <si>
    <t>ENS-024 สำนักงานปรมาณูเพื่อสันติ.pdf</t>
  </si>
  <si>
    <t>บริษัท EIN LAB</t>
  </si>
  <si>
    <t>ค่าวัสุด</t>
  </si>
  <si>
    <t>ค่าแรง</t>
  </si>
  <si>
    <t>ค่าวัสดุ+ค่าแรง</t>
  </si>
  <si>
    <t>งานติดฟิล์มประตูบานเลือน ขนาด 110 x 200 ซม. จำนวน 3 บาน</t>
  </si>
  <si>
    <t>งานติดฟิล์มประตูห้อง ขนาด 70 x 60 ซม. จำนวน 3 บาน</t>
  </si>
  <si>
    <t>งานติดฟิล์มช่องแสงด้านบนหน้าต่าง ขนาด 132 x 51 ซม. จำนวน 14 ช่อง</t>
  </si>
  <si>
    <t>ประตู Aluminium บานสวิง 3 ชุด</t>
  </si>
  <si>
    <t>สพฐ</t>
  </si>
  <si>
    <t>ผนัง Sandwich Panel and Aluminium Frame with Glass</t>
  </si>
  <si>
    <t xml:space="preserve">งานติดฟิล์มประตูบานเลือน ขนาด 110 x 200 ซม. 1 บาน </t>
  </si>
  <si>
    <t xml:space="preserve">งานติดฟิล์มประตูห้อง ขนาด 70 x 80 ซม. 1 บาน </t>
  </si>
  <si>
    <t>งานติดฟิล์มช่องแสงด้านบนหน้าต่าง ขนาด 132 x 51 ซม. 1 ช่อง</t>
  </si>
  <si>
    <t>งานติดฟิล์มบานหน้าต่าง ขนาด 58 x 110 ซม.  2 บาน</t>
  </si>
  <si>
    <t>ประตูAluminium บานสวิง</t>
  </si>
  <si>
    <t>งานเทพื้นอีพร๊อกซี่ชนิด Self Leveling หนา 5 มม. ขนาด 15.3 ตร.ม.</t>
  </si>
  <si>
    <t xml:space="preserve"> ติดฟิลม์ช่องแสงขนาด 132x51 ซม.(กxส)จ้านวน 3 ช่อง</t>
  </si>
  <si>
    <t>CORING พื้น 2 จุด</t>
  </si>
  <si>
    <t>เดินระบบน้้าดี-น้้าทิ้ง</t>
  </si>
  <si>
    <t>งานเทพื้นอีพร๊อกซี่ 25.48 ตร.ม.</t>
  </si>
  <si>
    <t xml:space="preserve"> ติดฟิลม์ ประตูบานเลื่อนขนาด 110x200 ซม.(กxส)จำนวน 1 บาน</t>
  </si>
  <si>
    <t>ระบบไฟฟ้า สำหรับตู้ดูดควัน 2 ชุด</t>
  </si>
  <si>
    <t xml:space="preserve"> ติดฟิลม์ ประตูบานเลื่อนขนาด 110x200 ซม.(กxส)จำนวน 2 บาน</t>
  </si>
  <si>
    <t xml:space="preserve"> ติดฟิลม์ช่องแสงขนาด 132x51 ซม.(กxส)จ้านวน 6 ช่อง</t>
  </si>
  <si>
    <t xml:space="preserve"> ติดฟิลม์ บานหน้าต่างขนาด 58x110 ซม.(กxส)จำนวน 12 บาน</t>
  </si>
  <si>
    <t xml:space="preserve"> ติดฟิลม์ บานหน้าต่างขนาด 58x110 ซม.(กxส)จำนวน 6 บาน</t>
  </si>
  <si>
    <t>CORING พื้น ขนาด 3 นิ้ว 2 จุด</t>
  </si>
  <si>
    <t xml:space="preserve"> งาน พื้น Epoxy ชนิด Self Leveling หนา 5 มม. 70.96 ตร.ม.</t>
  </si>
  <si>
    <t>งานพื้น Epoxy ชนิด Self Leveling หนา 5 มม. 13.26 ตร.ม.</t>
  </si>
  <si>
    <t>งานติดฟิล์มบานหน้าต่าง ขนาด 58 x 110 ซม. จำนวน 28 บาน</t>
  </si>
  <si>
    <t xml:space="preserve">ผนัง Sandwich Panel and Aluminium Frame with Glass </t>
  </si>
  <si>
    <t>..\สพฐ ราคากลางวัสดุก่อสร้าง-2566.pdf</t>
  </si>
  <si>
    <t>ไมโครเพลต ชนิด 96 หลุม 100 เพลท</t>
  </si>
  <si>
    <t>จุดละ 10000</t>
  </si>
  <si>
    <t>งานอื่น ติดฟิล์ม</t>
  </si>
  <si>
    <t>ส่วนที่ 2 หมวดครุภัณฑ์และงานจัดซื้อ</t>
  </si>
  <si>
    <t>แบบ ปร.4(ข) แผ่นที่ 3/3</t>
  </si>
  <si>
    <t>แบบ ปร.4(ข) แผ่นที่ 2/3</t>
  </si>
  <si>
    <t>ตร.ม.</t>
  </si>
  <si>
    <t xml:space="preserve">งาน พื้น Epoxy ชนิด Self Leveling หนา 5 มม </t>
  </si>
  <si>
    <t>Coring พื้น 7 จุด งานเดินท่อน้ำทิ้งและน้ำดี และงานเก็บฝ้า</t>
  </si>
  <si>
    <t>หมวดงานจัดซื้อและครุภัณฑ์</t>
  </si>
  <si>
    <t>หมวดงานจัดจ้างและปรับปรุงห้อง</t>
  </si>
  <si>
    <t>ลงชื่อ…...........................................ประธานกรรมการ                               ลงชื่อ…...............................................กรรมการ                                ลงชื่อ......................................กรรมการและเลขานุการ                                      (นางสาวอุษา กัลลประวิทย์)                                                                (นางสาวสะเราะ นิยมเดชา)                                                         (นางสาววราลี คงเจริญ)</t>
  </si>
  <si>
    <t>ครุภัณฑ์ประกอบอาคาร</t>
  </si>
  <si>
    <t>งานจัดซื้อครุภัณฑ์</t>
  </si>
  <si>
    <t>ไมโครเพลต ชนิด 96 หลุม 200 เพลท</t>
  </si>
  <si>
    <t>Cytotoxicity assay_1.pdf</t>
  </si>
  <si>
    <t>Cytotoxicity assay_2.pdf</t>
  </si>
  <si>
    <t>Cytotoxicity assay_3.pdf</t>
  </si>
  <si>
    <t>งานระบบน้ำประปาและน้ำทิ้ง Coring พื้น 7 จุด เดินท่อน้ำทิ้งและน้ำดี และงานเก็บฝ้า</t>
  </si>
  <si>
    <t>งานกั้นผนังห้องพร้อมบานประตู 1 ชุด</t>
  </si>
  <si>
    <t>Coring พื้น 2 จุด เดินท่อน้ำทิ้งและน้ำดี และงานเก็บฝ้า</t>
  </si>
  <si>
    <t xml:space="preserve">งานกั้นผนังห้องพร้อมบานประตูจำนวน 3 ชุด </t>
  </si>
  <si>
    <t>ผนัง Sandwich Panel and Aluminium Frame with Glass ประตู Aluminium บานสวิง 3 ชุด</t>
  </si>
  <si>
    <t>แบบ ปร.5(ข)</t>
  </si>
  <si>
    <t>ส่วนที่ 2 หมวดงานจัดซื้อและครุภัณฑ์</t>
  </si>
  <si>
    <t>ระบบไฟฟ้า</t>
  </si>
  <si>
    <t>ห้อง WASTE STORGE ROOM ห้อง 30 ชั้น 9 อาคาร 60 ปี ปส.</t>
  </si>
  <si>
    <t>สารเคมี1.pdf</t>
  </si>
  <si>
    <t>สารเคมี2.pdf</t>
  </si>
  <si>
    <t>สารเคมี3.pdf</t>
  </si>
  <si>
    <t xml:space="preserve">ระบบไฟฟ้า </t>
  </si>
  <si>
    <t>โต๊ะปฏิบัติการติดผนัง ขนาด 5770x750x800 มม. (ซิงค์ 2 หลุม)</t>
  </si>
  <si>
    <t>ตู้ดูดควัน ขนาด 1500x900x2350 มม. (พร้อมชุดกรองฟิลเตอร์)</t>
  </si>
  <si>
    <t>ตู้ดูดควัน ขนาด 1500x900x2350 มม. (พร้อมชุดกำจัดไอกรด)</t>
  </si>
  <si>
    <t>ตู้ดูดควัน ขนาด 1500x850x2350 มม. (พร้อมชุดกรองฟิลเตอร์)</t>
  </si>
  <si>
    <t>ชุดล้างตาล้างตัวฉุกเฉิน</t>
  </si>
  <si>
    <t xml:space="preserve">โต๊ะปฏิบัติการติดผนัง ขนาด 6100x750x800 มม. </t>
  </si>
  <si>
    <t>ตู้เก็บเสื้อผ้า ขนาด 1000x600x1800 มม.</t>
  </si>
  <si>
    <t>รถเข็นอุปกรณ์ ขนาด 880x520x1000 มม.</t>
  </si>
  <si>
    <t xml:space="preserve">ตู้เก็บสารเคมีและสารอันตราย </t>
  </si>
  <si>
    <t>ชั้นวางอเนกประสงค์ ขนาด 1000x500x1800 มม.</t>
  </si>
  <si>
    <t>โต๊ะวางเครื่องชั่ง ขนาด 800x750x800 มม.</t>
  </si>
  <si>
    <t>ตู้เก็บเสื้อผ้าขนาด 1200x600x1800 มม.</t>
  </si>
  <si>
    <t>ชุดล้างตัวล้างตาฉุกเฉิน</t>
  </si>
  <si>
    <t>โต๊ะปฏิบัติการติดผนัง ขนาด 16030x750x800 มม.</t>
  </si>
  <si>
    <t>ตู้เก็บอุปกรณ์ ขนาด 800x400x1800 มม.</t>
  </si>
  <si>
    <t>ตู้ดูดควัน ขนาด 1500x900x2350 มม. (พร้อมชุดกำจัดไอสารเคมี)</t>
  </si>
  <si>
    <t>ตู้เก็บเสื้อผ้า ขนาด 1200x600x1800 มม.</t>
  </si>
  <si>
    <t>ตู้ล็อคเกอร์ ขนาด 900x400x1800 มม.</t>
  </si>
  <si>
    <t xml:space="preserve">บีกเกอร์พลาสติกทนทนความร้อนและสารเคมี </t>
  </si>
  <si>
    <t>ขวดแก้วทนความร้อน แบบมีฝาเกลียวปากแคบ จำนวน 4 โหล</t>
  </si>
  <si>
    <t>ชุดวัดน้ำยาวัดความเป็นพิษของรังสีต่อเซลล์เพาะเลี้ยง</t>
  </si>
  <si>
    <t>สารเคมีและอุปกรณ์สำหรับการวัดผลของรังสีต่อดีเอ็นเอด้วยเทคนิค Alpha และ HTRF</t>
  </si>
  <si>
    <t xml:space="preserve">ห้อง Radiological Chemistry Lab For low Dose ห้อง 31 ชั้น 9 อาคาร 60 ปี ปส </t>
  </si>
  <si>
    <t>บริษัท ดีไซน์ ออลเทอร์เนทีฟ จำกัด 16/02/2566</t>
  </si>
  <si>
    <t>งานติดฟิล์มประตูห้อง ขนาด 70 x 80 ซม. จำนวน 3 บาน</t>
  </si>
  <si>
    <t>ประมาณราคาเมื่อวันที่  18 เมษายน 2566</t>
  </si>
  <si>
    <t xml:space="preserve">เครื่องดูดจ่ายสารละลายได้พร้อมกัน ๘ ช่อง </t>
  </si>
  <si>
    <t>-</t>
  </si>
  <si>
    <t>KPS</t>
  </si>
  <si>
    <t>Bio Desing</t>
  </si>
  <si>
    <t>เมทเลอ ขาดทิป</t>
  </si>
  <si>
    <t>KPS ขาดทิป และขนาด 20-200</t>
  </si>
  <si>
    <t>พีพี ดีลลิ่ง ขาดทิป และที่ตั้ง</t>
  </si>
  <si>
    <r>
      <t>เครื่องปั่นเหวี่ยง</t>
    </r>
    <r>
      <rPr>
        <b/>
        <sz val="15"/>
        <rFont val="TH SarabunIT๙"/>
        <family val="2"/>
      </rPr>
      <t xml:space="preserve"> </t>
    </r>
  </si>
  <si>
    <t>พีพี ดีลลิ่ง</t>
  </si>
  <si>
    <t>สำนักงบ</t>
  </si>
  <si>
    <t>ตู้เย็น ขนาด 13 คิวบิกฟุต</t>
  </si>
  <si>
    <t>เครื่องล้างความถี่สูง Ultrasonic Cleaner รุ่น GT SONIC-D13 _ GT SONIC.pdf</t>
  </si>
  <si>
    <t>GT SONIC-D13 _ GT Sonic เครื่องล้างความถี่สูง ULTRASONIC CLEANER ขนาด.pdf</t>
  </si>
  <si>
    <t>hotplate3.pdf</t>
  </si>
  <si>
    <t>hotplate4.pdf</t>
  </si>
  <si>
    <t>..\( Autoclave ) รุ่น BKQ-B75E ยี่ห้อ BIOBASE.pdf</t>
  </si>
  <si>
    <t>Autoclave หม้อนึ่งฆ่าเชื้อ ชนิดอัตโนมัติ Digital.pdf</t>
  </si>
  <si>
    <t>Faithful FSF75HD.pdf</t>
  </si>
  <si>
    <t xml:space="preserve">หม้อนึ่งฆ่าเชื้อด้วยไอน้ำชนิดตั้งพื้น ขนาดความจุ ๗๕ ลิตร </t>
  </si>
  <si>
    <t xml:space="preserve">เครื่องล้างความถี่สูง (Ultrasonic Cleaner) </t>
  </si>
  <si>
    <t xml:space="preserve">เตาให้ความร้อน (Hot Plate) </t>
  </si>
  <si>
    <t>HJK</t>
  </si>
  <si>
    <t>c</t>
  </si>
  <si>
    <r>
      <t>เครื่องปั่นเหวี่ยง</t>
    </r>
    <r>
      <rPr>
        <b/>
        <sz val="15"/>
        <rFont val="TH SarabunPSK"/>
        <family val="2"/>
      </rPr>
      <t xml:space="preserve"> </t>
    </r>
  </si>
  <si>
    <t>งานติดฟิล์มประตูบานเลื่อน ขนาด 110 x 200 ซม. จำนวน 3 บาน</t>
  </si>
  <si>
    <t>รวมทั้งสิ้น</t>
  </si>
  <si>
    <t xml:space="preserve">งานติดฟิล์มประตูบานเลื่อน ขนาด 110 x 200 ซม. 1 บาน </t>
  </si>
  <si>
    <t xml:space="preserve"> ติดฟิล์ม ประตูบานเลื่อนขนาด 110x200 ซม. (กxส) จำนวน 1 บาน</t>
  </si>
  <si>
    <t xml:space="preserve"> ติดฟิล์มช่องแสงขนาด 132x51 ซม. (กxส) จำนวน 3 ช่อง</t>
  </si>
  <si>
    <t xml:space="preserve"> ติดฟิล์ม บานหน้าต่างขนาด 58x110 ซม. (กxส) จำนวน 6 บาน</t>
  </si>
  <si>
    <t>ห้อง Radon ห้อง 42 ชั้น 9 อาคาร 60 ปี ปส.</t>
  </si>
  <si>
    <t xml:space="preserve"> ติดฟิล์ม ประตูบานเลื่อนขนาด 110x200 ซม. (กxส) จำนวน 2 บาน</t>
  </si>
  <si>
    <t xml:space="preserve"> ติดฟิล์มช่องแสงขนาด 132x51 ซม. (กxส) จำนวน 6 ช่อง</t>
  </si>
  <si>
    <t xml:space="preserve"> ติดฟิล์ม บานหน้าต่างขนาด 58x110 ซม. (กxส) จำนวน 12 บาน</t>
  </si>
  <si>
    <t xml:space="preserve">โต๊ะปฏิบัติการติดผนัง ขนาด 6110x750x800 มม. </t>
  </si>
  <si>
    <t>ชั้นวางเอนกประสงค์ ขนาด 1000x500x1800 มม.</t>
  </si>
  <si>
    <t>ตู้เก็บเสื้อผ้าขนาด 1000x600x1800 มม.</t>
  </si>
  <si>
    <t>ชุดน้ำยาวัดความเป็นพิษของรังสีต่อเซลล์เพาะเลี้ยง</t>
  </si>
  <si>
    <t>ตู้เย็น</t>
  </si>
  <si>
    <t>เงื่อนประกันผลงานหัก         0 %</t>
  </si>
  <si>
    <t>ขวดแก้วทนความร้อน แบบมีฝาเกลียวปากแคบ 4 โหล</t>
  </si>
  <si>
    <t>งาน พื้น Epoxy ชนิด Self Leveling หนา 5 มม พื้นที่ 131 ตร.ม.</t>
  </si>
  <si>
    <t>งานเทพื้นอีพร๊อกซี่ชนิด Self Leveling หนา 5 มม. พื้นที่ 15 ตร.ม.</t>
  </si>
  <si>
    <t>งานเทพื้นอีพร๊อกซี่ชนิด Self Leveling หนา 5 มม. พื้นที่ 25 ตร.ม.</t>
  </si>
  <si>
    <t>งานเทพื้นอีพร๊อกซี่ชนิด Self Leveling หนา 5 มม. พื้นที่ 70 ตร.ม.</t>
  </si>
  <si>
    <t>งานพื้น Epoxy ชนิด Self Leveling หนา 5 มม. พื้นที่ 13 ตร.ม.</t>
  </si>
  <si>
    <t>ดอกเบี้ยเงินกู้                     6 %</t>
  </si>
  <si>
    <t>บีกเกอร์พลาสติกทนทนความร้อนและสารเคมี 30 ชิ้น</t>
  </si>
  <si>
    <t>เก้าอี้ปฏิบัติการขาอะลูมิเนียมปรังโช้คแก๊ส (ล้อเลื่อน)</t>
  </si>
  <si>
    <t xml:space="preserve">จัดตั้งห้องปฏิบัติการทางเคมีรังสีและห้องเตรียมตัวอย่างพร้อมอุปกรณ์ประกอบ จำนวน 1 งาน </t>
  </si>
  <si>
    <t>จัดตั้งห้องปฏิบัติการทางเคมีรังสีและห้องเตรียมตัวอย่างพร้อมอุปกรณ์ประกอบ จำนวน 1 งาน</t>
  </si>
  <si>
    <t xml:space="preserve">ประมาณราคาเมื่อวันที่    </t>
  </si>
  <si>
    <t xml:space="preserve">ประมาณราคาเมื่อวันที่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</si>
</sst>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[$-F800]dddd\,\ mmmm\ dd\,\ yyyy"/>
    <numFmt numFmtId="190" formatCode="_-* #,##0.0_-;\-* #,##0.0_-;_-* &quot;-&quot;??_-;_-@_-"/>
    <numFmt numFmtId="191" formatCode="_-* #,##0_-;\-* #,##0_-;_-* &quot;-&quot;??_-;_-@_-"/>
    <numFmt numFmtId="192" formatCode="[$-101041E]d\ mmmm\ yyyy;@"/>
    <numFmt numFmtId="193" formatCode="_-* #,##0.0000_-;\-* #,##0.0000_-;_-* &quot;-&quot;??_-;_-@_-"/>
    <numFmt numFmtId="194" formatCode="_(* #,##0_);_(* \(#,##0\);_(* &quot;-&quot;??_);_(@_)"/>
    <numFmt numFmtId="195" formatCode="_-* #,##0.000_-;\-* #,##0.000_-;_-* &quot;-&quot;??_-;_-@_-"/>
  </numFmts>
  <fonts count="68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4"/>
      <name val="Wingdings 2"/>
      <family val="1"/>
      <charset val="2"/>
    </font>
    <font>
      <sz val="14"/>
      <name val="Arial"/>
      <family val="2"/>
    </font>
    <font>
      <b/>
      <u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0"/>
      <color rgb="FFFF0000"/>
      <name val="Arial"/>
      <family val="2"/>
    </font>
    <font>
      <sz val="14"/>
      <color theme="1"/>
      <name val="TH SarabunPSK"/>
      <family val="2"/>
    </font>
    <font>
      <u/>
      <sz val="10"/>
      <color theme="10"/>
      <name val="Arial"/>
      <family val="2"/>
    </font>
    <font>
      <b/>
      <sz val="14"/>
      <name val="TH SarabunPSK"/>
      <family val="2"/>
      <charset val="222"/>
    </font>
    <font>
      <b/>
      <sz val="14"/>
      <name val="TH Sarabun New"/>
      <family val="2"/>
    </font>
    <font>
      <sz val="14"/>
      <name val="TH SarabunPSK"/>
      <family val="2"/>
      <charset val="222"/>
    </font>
    <font>
      <b/>
      <sz val="14"/>
      <color theme="1"/>
      <name val="TH SarabunPSK"/>
      <family val="2"/>
    </font>
    <font>
      <b/>
      <sz val="16"/>
      <name val="TH SarabunPSK"/>
      <family val="2"/>
      <charset val="222"/>
    </font>
    <font>
      <sz val="10"/>
      <name val="Arial"/>
      <family val="2"/>
      <charset val="222"/>
    </font>
    <font>
      <sz val="8"/>
      <name val="Arial"/>
      <family val="2"/>
    </font>
    <font>
      <sz val="16"/>
      <color theme="1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u/>
      <sz val="15"/>
      <color theme="10"/>
      <name val="TH SarabunPSK"/>
      <family val="2"/>
    </font>
    <font>
      <b/>
      <sz val="15"/>
      <color theme="0"/>
      <name val="TH SarabunPSK"/>
      <family val="2"/>
    </font>
    <font>
      <sz val="16"/>
      <color rgb="FFFF0000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5"/>
      <color theme="0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rgb="FFFF0000"/>
      <name val="TH SarabunIT๙"/>
      <family val="2"/>
    </font>
    <font>
      <sz val="12"/>
      <name val="Webdings"/>
      <family val="1"/>
      <charset val="2"/>
    </font>
    <font>
      <sz val="13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9" fontId="2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36" fillId="0" borderId="0" applyNumberFormat="0" applyFill="0" applyBorder="0" applyAlignment="0" applyProtection="0"/>
  </cellStyleXfs>
  <cellXfs count="877">
    <xf numFmtId="0" fontId="0" fillId="0" borderId="0" xfId="0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43" fontId="5" fillId="0" borderId="10" xfId="28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3" fontId="6" fillId="0" borderId="11" xfId="28" applyFont="1" applyFill="1" applyBorder="1" applyAlignment="1">
      <alignment horizontal="center"/>
    </xf>
    <xf numFmtId="43" fontId="6" fillId="0" borderId="12" xfId="28" applyFont="1" applyFill="1" applyBorder="1" applyAlignment="1" applyProtection="1">
      <alignment horizontal="center"/>
      <protection locked="0"/>
    </xf>
    <xf numFmtId="43" fontId="6" fillId="0" borderId="13" xfId="28" applyFont="1" applyFill="1" applyBorder="1" applyAlignment="1">
      <alignment horizontal="center"/>
    </xf>
    <xf numFmtId="43" fontId="6" fillId="0" borderId="12" xfId="28" applyFont="1" applyFill="1" applyBorder="1" applyProtection="1">
      <protection locked="0"/>
    </xf>
    <xf numFmtId="0" fontId="6" fillId="0" borderId="12" xfId="0" applyFont="1" applyBorder="1" applyAlignment="1">
      <alignment horizontal="center" vertical="center"/>
    </xf>
    <xf numFmtId="43" fontId="6" fillId="0" borderId="12" xfId="28" applyFont="1" applyFill="1" applyBorder="1" applyAlignment="1">
      <alignment horizontal="center"/>
    </xf>
    <xf numFmtId="43" fontId="5" fillId="0" borderId="18" xfId="28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191" fontId="6" fillId="0" borderId="0" xfId="28" applyNumberFormat="1" applyFont="1" applyFill="1" applyBorder="1"/>
    <xf numFmtId="0" fontId="6" fillId="0" borderId="0" xfId="0" applyFont="1" applyAlignment="1">
      <alignment horizontal="left"/>
    </xf>
    <xf numFmtId="43" fontId="6" fillId="0" borderId="15" xfId="28" applyFont="1" applyFill="1" applyBorder="1" applyAlignment="1" applyProtection="1">
      <alignment horizontal="center"/>
      <protection locked="0"/>
    </xf>
    <xf numFmtId="187" fontId="6" fillId="0" borderId="12" xfId="28" applyNumberFormat="1" applyFont="1" applyFill="1" applyBorder="1" applyProtection="1">
      <protection locked="0"/>
    </xf>
    <xf numFmtId="43" fontId="6" fillId="0" borderId="17" xfId="28" applyFont="1" applyFill="1" applyBorder="1" applyProtection="1">
      <protection locked="0"/>
    </xf>
    <xf numFmtId="43" fontId="6" fillId="0" borderId="16" xfId="28" applyFont="1" applyFill="1" applyBorder="1" applyAlignment="1" applyProtection="1">
      <alignment horizontal="center"/>
      <protection locked="0"/>
    </xf>
    <xf numFmtId="187" fontId="6" fillId="0" borderId="16" xfId="28" applyNumberFormat="1" applyFont="1" applyFill="1" applyBorder="1" applyProtection="1">
      <protection locked="0"/>
    </xf>
    <xf numFmtId="43" fontId="5" fillId="0" borderId="23" xfId="28" applyFont="1" applyFill="1" applyBorder="1" applyProtection="1">
      <protection locked="0"/>
    </xf>
    <xf numFmtId="0" fontId="32" fillId="0" borderId="0" xfId="0" applyFont="1"/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191" fontId="6" fillId="0" borderId="12" xfId="28" applyNumberFormat="1" applyFont="1" applyFill="1" applyBorder="1"/>
    <xf numFmtId="0" fontId="6" fillId="0" borderId="26" xfId="0" applyFont="1" applyBorder="1"/>
    <xf numFmtId="191" fontId="6" fillId="0" borderId="26" xfId="28" applyNumberFormat="1" applyFont="1" applyFill="1" applyBorder="1"/>
    <xf numFmtId="191" fontId="6" fillId="0" borderId="0" xfId="28" applyNumberFormat="1" applyFont="1" applyFill="1"/>
    <xf numFmtId="43" fontId="5" fillId="0" borderId="0" xfId="28" applyFont="1" applyFill="1" applyBorder="1" applyAlignment="1">
      <alignment horizontal="center"/>
    </xf>
    <xf numFmtId="43" fontId="6" fillId="0" borderId="12" xfId="28" applyFont="1" applyFill="1" applyBorder="1" applyAlignment="1">
      <alignment horizontal="center" vertical="center"/>
    </xf>
    <xf numFmtId="187" fontId="6" fillId="0" borderId="23" xfId="28" applyNumberFormat="1" applyFont="1" applyFill="1" applyBorder="1" applyProtection="1">
      <protection locked="0"/>
    </xf>
    <xf numFmtId="0" fontId="5" fillId="0" borderId="38" xfId="0" applyFont="1" applyBorder="1" applyAlignment="1">
      <alignment horizontal="center" vertical="center"/>
    </xf>
    <xf numFmtId="0" fontId="28" fillId="0" borderId="0" xfId="0" applyFont="1"/>
    <xf numFmtId="0" fontId="29" fillId="0" borderId="13" xfId="0" applyFont="1" applyBorder="1" applyAlignment="1">
      <alignment horizontal="right"/>
    </xf>
    <xf numFmtId="0" fontId="29" fillId="0" borderId="15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91" fontId="5" fillId="0" borderId="15" xfId="28" applyNumberFormat="1" applyFont="1" applyFill="1" applyBorder="1" applyAlignment="1">
      <alignment horizontal="right"/>
    </xf>
    <xf numFmtId="0" fontId="5" fillId="0" borderId="15" xfId="0" applyFont="1" applyBorder="1"/>
    <xf numFmtId="43" fontId="6" fillId="0" borderId="13" xfId="28" applyFont="1" applyFill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37" xfId="0" applyFont="1" applyBorder="1"/>
    <xf numFmtId="0" fontId="6" fillId="0" borderId="37" xfId="0" applyFont="1" applyBorder="1" applyAlignment="1">
      <alignment horizontal="left"/>
    </xf>
    <xf numFmtId="191" fontId="5" fillId="0" borderId="38" xfId="28" applyNumberFormat="1" applyFont="1" applyFill="1" applyBorder="1" applyAlignment="1">
      <alignment horizontal="center" vertical="center" wrapText="1"/>
    </xf>
    <xf numFmtId="191" fontId="5" fillId="0" borderId="39" xfId="28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43" fontId="6" fillId="0" borderId="40" xfId="28" applyFont="1" applyFill="1" applyBorder="1"/>
    <xf numFmtId="193" fontId="6" fillId="0" borderId="40" xfId="28" applyNumberFormat="1" applyFont="1" applyFill="1" applyBorder="1" applyAlignment="1"/>
    <xf numFmtId="0" fontId="6" fillId="0" borderId="40" xfId="0" applyFont="1" applyBorder="1"/>
    <xf numFmtId="0" fontId="6" fillId="0" borderId="36" xfId="0" applyFont="1" applyBorder="1" applyAlignment="1">
      <alignment horizontal="right"/>
    </xf>
    <xf numFmtId="43" fontId="6" fillId="0" borderId="12" xfId="0" applyNumberFormat="1" applyFont="1" applyBorder="1"/>
    <xf numFmtId="191" fontId="6" fillId="0" borderId="11" xfId="28" applyNumberFormat="1" applyFont="1" applyFill="1" applyBorder="1"/>
    <xf numFmtId="10" fontId="6" fillId="0" borderId="41" xfId="0" applyNumberFormat="1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/>
    </xf>
    <xf numFmtId="10" fontId="6" fillId="0" borderId="4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8" xfId="0" applyFont="1" applyBorder="1"/>
    <xf numFmtId="0" fontId="6" fillId="0" borderId="39" xfId="0" applyFont="1" applyBorder="1"/>
    <xf numFmtId="191" fontId="6" fillId="0" borderId="0" xfId="28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30" fillId="0" borderId="0" xfId="0" applyFont="1"/>
    <xf numFmtId="43" fontId="6" fillId="0" borderId="15" xfId="0" applyNumberFormat="1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192" fontId="6" fillId="0" borderId="36" xfId="0" applyNumberFormat="1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19" xfId="0" applyFont="1" applyBorder="1"/>
    <xf numFmtId="0" fontId="6" fillId="0" borderId="43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1" fontId="6" fillId="0" borderId="0" xfId="28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6" fillId="0" borderId="0" xfId="48" applyFont="1" applyFill="1" applyAlignment="1">
      <alignment horizontal="left"/>
    </xf>
    <xf numFmtId="0" fontId="6" fillId="0" borderId="0" xfId="0" applyFont="1" applyAlignment="1">
      <alignment vertical="top"/>
    </xf>
    <xf numFmtId="43" fontId="5" fillId="0" borderId="38" xfId="28" applyFont="1" applyFill="1" applyBorder="1"/>
    <xf numFmtId="0" fontId="5" fillId="0" borderId="43" xfId="0" applyFont="1" applyBorder="1" applyAlignment="1">
      <alignment horizontal="right"/>
    </xf>
    <xf numFmtId="43" fontId="5" fillId="0" borderId="10" xfId="28" applyFont="1" applyFill="1" applyBorder="1"/>
    <xf numFmtId="0" fontId="6" fillId="0" borderId="46" xfId="0" applyFont="1" applyBorder="1" applyAlignment="1">
      <alignment horizontal="center" vertical="center"/>
    </xf>
    <xf numFmtId="0" fontId="6" fillId="0" borderId="14" xfId="28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43" fontId="6" fillId="0" borderId="0" xfId="0" applyNumberFormat="1" applyFont="1"/>
    <xf numFmtId="187" fontId="6" fillId="0" borderId="0" xfId="0" applyNumberFormat="1" applyFont="1"/>
    <xf numFmtId="0" fontId="5" fillId="0" borderId="0" xfId="0" applyFont="1" applyAlignment="1">
      <alignment vertical="center"/>
    </xf>
    <xf numFmtId="191" fontId="6" fillId="0" borderId="0" xfId="28" applyNumberFormat="1" applyFont="1" applyFill="1" applyBorder="1" applyAlignment="1">
      <alignment vertical="center"/>
    </xf>
    <xf numFmtId="43" fontId="6" fillId="0" borderId="0" xfId="28" applyFont="1" applyFill="1" applyBorder="1" applyAlignment="1">
      <alignment vertical="center"/>
    </xf>
    <xf numFmtId="0" fontId="6" fillId="0" borderId="46" xfId="0" applyFont="1" applyBorder="1" applyAlignment="1" applyProtection="1">
      <alignment horizontal="center"/>
      <protection locked="0"/>
    </xf>
    <xf numFmtId="43" fontId="6" fillId="0" borderId="0" xfId="28" applyFont="1"/>
    <xf numFmtId="43" fontId="6" fillId="0" borderId="0" xfId="28" applyFont="1" applyAlignment="1">
      <alignment vertical="center"/>
    </xf>
    <xf numFmtId="43" fontId="6" fillId="0" borderId="0" xfId="28" applyFont="1" applyBorder="1" applyAlignment="1">
      <alignment vertical="center"/>
    </xf>
    <xf numFmtId="43" fontId="5" fillId="0" borderId="0" xfId="28" applyFont="1"/>
    <xf numFmtId="43" fontId="0" fillId="0" borderId="0" xfId="28" applyFont="1"/>
    <xf numFmtId="187" fontId="6" fillId="0" borderId="0" xfId="28" applyNumberFormat="1" applyFont="1" applyFill="1" applyBorder="1" applyProtection="1">
      <protection locked="0"/>
    </xf>
    <xf numFmtId="187" fontId="32" fillId="0" borderId="0" xfId="0" applyNumberFormat="1" applyFont="1"/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/>
    <xf numFmtId="187" fontId="5" fillId="0" borderId="0" xfId="0" applyNumberFormat="1" applyFont="1"/>
    <xf numFmtId="43" fontId="32" fillId="0" borderId="13" xfId="28" applyFont="1" applyFill="1" applyBorder="1" applyAlignment="1">
      <alignment horizontal="center"/>
    </xf>
    <xf numFmtId="43" fontId="32" fillId="0" borderId="15" xfId="28" applyFont="1" applyFill="1" applyBorder="1" applyAlignment="1">
      <alignment horizontal="center"/>
    </xf>
    <xf numFmtId="43" fontId="6" fillId="0" borderId="0" xfId="2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43" fontId="0" fillId="0" borderId="0" xfId="28" applyFont="1" applyFill="1" applyBorder="1"/>
    <xf numFmtId="0" fontId="5" fillId="0" borderId="1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3" fontId="6" fillId="0" borderId="0" xfId="48" applyFont="1" applyFill="1" applyAlignment="1"/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192" fontId="35" fillId="0" borderId="37" xfId="0" applyNumberFormat="1" applyFont="1" applyBorder="1" applyAlignment="1">
      <alignment vertical="center"/>
    </xf>
    <xf numFmtId="0" fontId="0" fillId="0" borderId="23" xfId="0" applyBorder="1"/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center"/>
    </xf>
    <xf numFmtId="43" fontId="6" fillId="0" borderId="23" xfId="28" applyFont="1" applyFill="1" applyBorder="1" applyAlignment="1">
      <alignment horizontal="center"/>
    </xf>
    <xf numFmtId="0" fontId="6" fillId="0" borderId="23" xfId="0" applyFont="1" applyBorder="1"/>
    <xf numFmtId="43" fontId="6" fillId="0" borderId="23" xfId="28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91" fontId="6" fillId="0" borderId="23" xfId="28" applyNumberFormat="1" applyFont="1" applyBorder="1" applyAlignment="1">
      <alignment vertical="top" wrapText="1"/>
    </xf>
    <xf numFmtId="191" fontId="6" fillId="0" borderId="23" xfId="28" applyNumberFormat="1" applyFont="1" applyFill="1" applyBorder="1" applyAlignment="1">
      <alignment horizontal="center" vertical="center"/>
    </xf>
    <xf numFmtId="191" fontId="6" fillId="0" borderId="23" xfId="28" applyNumberFormat="1" applyFont="1" applyFill="1" applyBorder="1" applyAlignment="1">
      <alignment vertical="center"/>
    </xf>
    <xf numFmtId="191" fontId="6" fillId="0" borderId="23" xfId="28" applyNumberFormat="1" applyFont="1" applyBorder="1" applyAlignment="1">
      <alignment vertical="center"/>
    </xf>
    <xf numFmtId="43" fontId="4" fillId="0" borderId="23" xfId="28" applyFont="1" applyFill="1" applyBorder="1" applyAlignment="1"/>
    <xf numFmtId="191" fontId="6" fillId="0" borderId="23" xfId="28" applyNumberFormat="1" applyFont="1" applyBorder="1"/>
    <xf numFmtId="191" fontId="6" fillId="0" borderId="23" xfId="28" applyNumberFormat="1" applyFont="1" applyFill="1" applyBorder="1" applyAlignment="1">
      <alignment horizontal="center" vertical="top" wrapText="1"/>
    </xf>
    <xf numFmtId="191" fontId="6" fillId="0" borderId="23" xfId="28" applyNumberFormat="1" applyFont="1" applyFill="1" applyBorder="1" applyAlignment="1">
      <alignment horizontal="center"/>
    </xf>
    <xf numFmtId="191" fontId="0" fillId="0" borderId="23" xfId="28" applyNumberFormat="1" applyFont="1" applyBorder="1" applyAlignment="1">
      <alignment vertical="center"/>
    </xf>
    <xf numFmtId="191" fontId="0" fillId="0" borderId="23" xfId="28" applyNumberFormat="1" applyFont="1" applyBorder="1"/>
    <xf numFmtId="191" fontId="6" fillId="0" borderId="23" xfId="28" applyNumberFormat="1" applyFont="1" applyBorder="1" applyAlignment="1">
      <alignment vertical="top"/>
    </xf>
    <xf numFmtId="0" fontId="0" fillId="0" borderId="0" xfId="0" applyAlignment="1">
      <alignment vertical="top"/>
    </xf>
    <xf numFmtId="191" fontId="6" fillId="0" borderId="23" xfId="28" applyNumberFormat="1" applyFont="1" applyFill="1" applyBorder="1" applyAlignment="1">
      <alignment horizontal="center" vertical="top"/>
    </xf>
    <xf numFmtId="191" fontId="6" fillId="0" borderId="23" xfId="28" applyNumberFormat="1" applyFont="1" applyFill="1" applyBorder="1" applyAlignment="1">
      <alignment horizontal="left"/>
    </xf>
    <xf numFmtId="0" fontId="6" fillId="0" borderId="23" xfId="0" applyFont="1" applyBorder="1" applyAlignment="1">
      <alignment vertical="center"/>
    </xf>
    <xf numFmtId="191" fontId="6" fillId="0" borderId="23" xfId="28" applyNumberFormat="1" applyFont="1" applyBorder="1" applyAlignment="1"/>
    <xf numFmtId="43" fontId="37" fillId="0" borderId="23" xfId="28" applyFont="1" applyFill="1" applyBorder="1" applyAlignment="1"/>
    <xf numFmtId="0" fontId="37" fillId="0" borderId="23" xfId="0" applyFont="1" applyBorder="1"/>
    <xf numFmtId="191" fontId="6" fillId="0" borderId="23" xfId="28" applyNumberFormat="1" applyFont="1" applyFill="1" applyBorder="1" applyAlignment="1">
      <alignment horizontal="left" vertical="top"/>
    </xf>
    <xf numFmtId="191" fontId="6" fillId="0" borderId="23" xfId="28" applyNumberFormat="1" applyFont="1" applyFill="1" applyBorder="1" applyAlignment="1">
      <alignment vertical="top"/>
    </xf>
    <xf numFmtId="191" fontId="6" fillId="0" borderId="0" xfId="0" applyNumberFormat="1" applyFont="1" applyAlignment="1">
      <alignment vertical="top"/>
    </xf>
    <xf numFmtId="191" fontId="6" fillId="0" borderId="0" xfId="0" applyNumberFormat="1" applyFont="1" applyAlignment="1">
      <alignment vertical="center"/>
    </xf>
    <xf numFmtId="191" fontId="6" fillId="0" borderId="23" xfId="0" applyNumberFormat="1" applyFont="1" applyBorder="1" applyAlignment="1">
      <alignment vertical="center"/>
    </xf>
    <xf numFmtId="191" fontId="6" fillId="0" borderId="23" xfId="0" applyNumberFormat="1" applyFont="1" applyBorder="1"/>
    <xf numFmtId="0" fontId="36" fillId="0" borderId="23" xfId="50" applyBorder="1"/>
    <xf numFmtId="191" fontId="6" fillId="0" borderId="23" xfId="28" applyNumberFormat="1" applyFont="1" applyFill="1" applyBorder="1" applyAlignment="1">
      <alignment vertical="top" wrapText="1"/>
    </xf>
    <xf numFmtId="191" fontId="6" fillId="0" borderId="23" xfId="28" applyNumberFormat="1" applyFont="1" applyFill="1" applyBorder="1"/>
    <xf numFmtId="0" fontId="36" fillId="0" borderId="23" xfId="50" applyBorder="1" applyAlignment="1">
      <alignment vertical="center"/>
    </xf>
    <xf numFmtId="191" fontId="36" fillId="0" borderId="23" xfId="50" applyNumberForma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43" fontId="6" fillId="0" borderId="12" xfId="28" applyFont="1" applyFill="1" applyBorder="1" applyAlignment="1"/>
    <xf numFmtId="43" fontId="6" fillId="0" borderId="23" xfId="28" applyFont="1" applyFill="1" applyBorder="1" applyAlignment="1"/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37" fillId="0" borderId="23" xfId="0" applyFont="1" applyBorder="1" applyAlignment="1">
      <alignment horizont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191" fontId="2" fillId="0" borderId="23" xfId="28" applyNumberFormat="1" applyFont="1" applyBorder="1" applyAlignment="1">
      <alignment vertical="top"/>
    </xf>
    <xf numFmtId="191" fontId="2" fillId="0" borderId="23" xfId="28" applyNumberFormat="1" applyFont="1" applyBorder="1" applyAlignment="1">
      <alignment vertical="center"/>
    </xf>
    <xf numFmtId="43" fontId="6" fillId="0" borderId="23" xfId="28" applyFont="1" applyBorder="1"/>
    <xf numFmtId="191" fontId="6" fillId="0" borderId="23" xfId="28" applyNumberFormat="1" applyFont="1" applyFill="1" applyBorder="1" applyAlignment="1"/>
    <xf numFmtId="191" fontId="0" fillId="0" borderId="23" xfId="28" applyNumberFormat="1" applyFont="1" applyFill="1" applyBorder="1" applyAlignment="1">
      <alignment vertical="center"/>
    </xf>
    <xf numFmtId="0" fontId="36" fillId="0" borderId="23" xfId="50" applyFill="1" applyBorder="1" applyAlignment="1"/>
    <xf numFmtId="43" fontId="36" fillId="0" borderId="23" xfId="50" applyNumberFormat="1" applyFill="1" applyBorder="1" applyAlignment="1">
      <alignment vertical="center"/>
    </xf>
    <xf numFmtId="191" fontId="1" fillId="0" borderId="23" xfId="28" applyNumberFormat="1" applyFont="1" applyFill="1" applyBorder="1" applyAlignment="1">
      <alignment vertical="center"/>
    </xf>
    <xf numFmtId="191" fontId="34" fillId="0" borderId="23" xfId="28" applyNumberFormat="1" applyFont="1" applyFill="1" applyBorder="1" applyAlignment="1">
      <alignment vertical="center"/>
    </xf>
    <xf numFmtId="191" fontId="0" fillId="0" borderId="23" xfId="28" applyNumberFormat="1" applyFont="1" applyFill="1" applyBorder="1"/>
    <xf numFmtId="0" fontId="6" fillId="0" borderId="20" xfId="0" applyFont="1" applyBorder="1"/>
    <xf numFmtId="0" fontId="6" fillId="0" borderId="20" xfId="0" applyFont="1" applyBorder="1" applyAlignment="1">
      <alignment vertical="center"/>
    </xf>
    <xf numFmtId="194" fontId="6" fillId="0" borderId="23" xfId="0" applyNumberFormat="1" applyFont="1" applyBorder="1"/>
    <xf numFmtId="191" fontId="32" fillId="0" borderId="23" xfId="28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46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0" fontId="5" fillId="25" borderId="41" xfId="0" applyFont="1" applyFill="1" applyBorder="1" applyAlignment="1">
      <alignment horizontal="left" vertical="center"/>
    </xf>
    <xf numFmtId="0" fontId="39" fillId="0" borderId="23" xfId="0" applyFont="1" applyBorder="1"/>
    <xf numFmtId="43" fontId="5" fillId="0" borderId="12" xfId="28" applyFont="1" applyFill="1" applyBorder="1" applyAlignment="1">
      <alignment horizontal="center"/>
    </xf>
    <xf numFmtId="0" fontId="5" fillId="25" borderId="14" xfId="0" applyFont="1" applyFill="1" applyBorder="1" applyAlignment="1" applyProtection="1">
      <alignment horizontal="center"/>
      <protection locked="0"/>
    </xf>
    <xf numFmtId="43" fontId="5" fillId="25" borderId="12" xfId="28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43" fontId="5" fillId="25" borderId="12" xfId="28" applyFont="1" applyFill="1" applyBorder="1" applyAlignment="1">
      <alignment horizontal="center"/>
    </xf>
    <xf numFmtId="43" fontId="5" fillId="25" borderId="12" xfId="28" applyFont="1" applyFill="1" applyBorder="1" applyAlignment="1" applyProtection="1">
      <alignment horizontal="center"/>
      <protection locked="0"/>
    </xf>
    <xf numFmtId="43" fontId="5" fillId="25" borderId="15" xfId="28" applyFont="1" applyFill="1" applyBorder="1" applyAlignment="1">
      <alignment horizontal="center"/>
    </xf>
    <xf numFmtId="43" fontId="5" fillId="25" borderId="12" xfId="28" applyFont="1" applyFill="1" applyBorder="1" applyProtection="1">
      <protection locked="0"/>
    </xf>
    <xf numFmtId="187" fontId="5" fillId="25" borderId="0" xfId="0" applyNumberFormat="1" applyFont="1" applyFill="1"/>
    <xf numFmtId="191" fontId="5" fillId="25" borderId="23" xfId="28" applyNumberFormat="1" applyFont="1" applyFill="1" applyBorder="1" applyAlignment="1">
      <alignment horizontal="center" vertical="top" wrapText="1"/>
    </xf>
    <xf numFmtId="43" fontId="5" fillId="25" borderId="23" xfId="28" applyFont="1" applyFill="1" applyBorder="1" applyAlignment="1">
      <alignment horizontal="center" vertical="top" wrapText="1"/>
    </xf>
    <xf numFmtId="0" fontId="5" fillId="25" borderId="46" xfId="0" applyFont="1" applyFill="1" applyBorder="1" applyAlignment="1" applyProtection="1">
      <alignment horizontal="center"/>
      <protection locked="0"/>
    </xf>
    <xf numFmtId="43" fontId="5" fillId="25" borderId="13" xfId="28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 vertical="center"/>
    </xf>
    <xf numFmtId="0" fontId="5" fillId="25" borderId="46" xfId="0" applyFont="1" applyFill="1" applyBorder="1" applyAlignment="1">
      <alignment horizontal="center" vertical="center"/>
    </xf>
    <xf numFmtId="43" fontId="5" fillId="25" borderId="15" xfId="28" applyFont="1" applyFill="1" applyBorder="1" applyAlignment="1" applyProtection="1">
      <alignment horizontal="center"/>
      <protection locked="0"/>
    </xf>
    <xf numFmtId="187" fontId="5" fillId="25" borderId="12" xfId="28" applyNumberFormat="1" applyFont="1" applyFill="1" applyBorder="1" applyProtection="1">
      <protection locked="0"/>
    </xf>
    <xf numFmtId="187" fontId="6" fillId="0" borderId="23" xfId="0" applyNumberFormat="1" applyFont="1" applyBorder="1"/>
    <xf numFmtId="191" fontId="5" fillId="25" borderId="23" xfId="28" applyNumberFormat="1" applyFont="1" applyFill="1" applyBorder="1" applyAlignment="1">
      <alignment horizontal="center"/>
    </xf>
    <xf numFmtId="187" fontId="40" fillId="25" borderId="23" xfId="0" applyNumberFormat="1" applyFont="1" applyFill="1" applyBorder="1"/>
    <xf numFmtId="187" fontId="5" fillId="25" borderId="23" xfId="0" applyNumberFormat="1" applyFont="1" applyFill="1" applyBorder="1"/>
    <xf numFmtId="191" fontId="35" fillId="0" borderId="23" xfId="0" applyNumberFormat="1" applyFont="1" applyBorder="1"/>
    <xf numFmtId="187" fontId="33" fillId="25" borderId="23" xfId="0" applyNumberFormat="1" applyFont="1" applyFill="1" applyBorder="1"/>
    <xf numFmtId="191" fontId="5" fillId="25" borderId="23" xfId="0" applyNumberFormat="1" applyFont="1" applyFill="1" applyBorder="1"/>
    <xf numFmtId="191" fontId="40" fillId="25" borderId="23" xfId="0" applyNumberFormat="1" applyFont="1" applyFill="1" applyBorder="1"/>
    <xf numFmtId="187" fontId="32" fillId="0" borderId="23" xfId="0" applyNumberFormat="1" applyFont="1" applyBorder="1"/>
    <xf numFmtId="43" fontId="5" fillId="0" borderId="23" xfId="28" applyFont="1" applyBorder="1"/>
    <xf numFmtId="187" fontId="5" fillId="0" borderId="23" xfId="0" applyNumberFormat="1" applyFont="1" applyBorder="1"/>
    <xf numFmtId="194" fontId="40" fillId="25" borderId="23" xfId="0" applyNumberFormat="1" applyFont="1" applyFill="1" applyBorder="1"/>
    <xf numFmtId="194" fontId="5" fillId="25" borderId="23" xfId="0" applyNumberFormat="1" applyFont="1" applyFill="1" applyBorder="1"/>
    <xf numFmtId="194" fontId="35" fillId="0" borderId="23" xfId="0" applyNumberFormat="1" applyFont="1" applyBorder="1"/>
    <xf numFmtId="194" fontId="33" fillId="25" borderId="23" xfId="0" applyNumberFormat="1" applyFont="1" applyFill="1" applyBorder="1"/>
    <xf numFmtId="194" fontId="32" fillId="0" borderId="23" xfId="0" applyNumberFormat="1" applyFont="1" applyBorder="1"/>
    <xf numFmtId="191" fontId="5" fillId="0" borderId="23" xfId="28" applyNumberFormat="1" applyFont="1" applyBorder="1"/>
    <xf numFmtId="191" fontId="33" fillId="0" borderId="23" xfId="28" applyNumberFormat="1" applyFont="1" applyBorder="1"/>
    <xf numFmtId="43" fontId="5" fillId="25" borderId="23" xfId="28" applyFont="1" applyFill="1" applyBorder="1"/>
    <xf numFmtId="191" fontId="5" fillId="25" borderId="23" xfId="28" applyNumberFormat="1" applyFont="1" applyFill="1" applyBorder="1"/>
    <xf numFmtId="191" fontId="33" fillId="25" borderId="23" xfId="28" applyNumberFormat="1" applyFont="1" applyFill="1" applyBorder="1"/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92" fontId="35" fillId="0" borderId="0" xfId="0" applyNumberFormat="1" applyFont="1" applyAlignment="1">
      <alignment vertical="center"/>
    </xf>
    <xf numFmtId="0" fontId="5" fillId="25" borderId="0" xfId="0" applyFont="1" applyFill="1" applyAlignment="1">
      <alignment horizontal="center" vertical="center"/>
    </xf>
    <xf numFmtId="43" fontId="5" fillId="25" borderId="0" xfId="0" applyNumberFormat="1" applyFont="1" applyFill="1"/>
    <xf numFmtId="43" fontId="4" fillId="25" borderId="23" xfId="28" applyFont="1" applyFill="1" applyBorder="1" applyAlignment="1"/>
    <xf numFmtId="43" fontId="0" fillId="0" borderId="23" xfId="28" applyFont="1" applyBorder="1"/>
    <xf numFmtId="0" fontId="6" fillId="0" borderId="57" xfId="0" applyFont="1" applyBorder="1" applyAlignment="1" applyProtection="1">
      <alignment horizontal="center"/>
      <protection locked="0"/>
    </xf>
    <xf numFmtId="43" fontId="6" fillId="0" borderId="27" xfId="28" applyFont="1" applyFill="1" applyBorder="1" applyAlignment="1">
      <alignment horizontal="center"/>
    </xf>
    <xf numFmtId="43" fontId="6" fillId="0" borderId="19" xfId="28" applyFont="1" applyFill="1" applyBorder="1" applyAlignment="1" applyProtection="1">
      <alignment horizontal="center"/>
      <protection locked="0"/>
    </xf>
    <xf numFmtId="43" fontId="6" fillId="0" borderId="27" xfId="28" applyFont="1" applyFill="1" applyBorder="1" applyAlignment="1" applyProtection="1">
      <alignment horizontal="center"/>
      <protection locked="0"/>
    </xf>
    <xf numFmtId="43" fontId="6" fillId="0" borderId="19" xfId="28" applyFont="1" applyFill="1" applyBorder="1" applyProtection="1">
      <protection locked="0"/>
    </xf>
    <xf numFmtId="187" fontId="6" fillId="0" borderId="27" xfId="28" applyNumberFormat="1" applyFont="1" applyFill="1" applyBorder="1" applyProtection="1">
      <protection locked="0"/>
    </xf>
    <xf numFmtId="43" fontId="6" fillId="0" borderId="13" xfId="28" applyFont="1" applyFill="1" applyBorder="1" applyAlignment="1" applyProtection="1">
      <alignment horizontal="center"/>
      <protection locked="0"/>
    </xf>
    <xf numFmtId="187" fontId="6" fillId="0" borderId="11" xfId="28" applyNumberFormat="1" applyFont="1" applyFill="1" applyBorder="1" applyProtection="1">
      <protection locked="0"/>
    </xf>
    <xf numFmtId="0" fontId="41" fillId="25" borderId="23" xfId="0" applyFont="1" applyFill="1" applyBorder="1"/>
    <xf numFmtId="187" fontId="37" fillId="25" borderId="23" xfId="0" applyNumberFormat="1" applyFont="1" applyFill="1" applyBorder="1"/>
    <xf numFmtId="0" fontId="41" fillId="0" borderId="23" xfId="0" applyFont="1" applyBorder="1"/>
    <xf numFmtId="187" fontId="39" fillId="0" borderId="23" xfId="0" applyNumberFormat="1" applyFont="1" applyBorder="1"/>
    <xf numFmtId="0" fontId="37" fillId="25" borderId="23" xfId="0" applyFont="1" applyFill="1" applyBorder="1"/>
    <xf numFmtId="191" fontId="37" fillId="25" borderId="23" xfId="28" applyNumberFormat="1" applyFont="1" applyFill="1" applyBorder="1" applyAlignment="1">
      <alignment horizontal="center" vertical="top" wrapText="1"/>
    </xf>
    <xf numFmtId="43" fontId="37" fillId="25" borderId="23" xfId="28" applyFont="1" applyFill="1" applyBorder="1" applyAlignment="1">
      <alignment horizontal="center" vertical="top" wrapText="1"/>
    </xf>
    <xf numFmtId="191" fontId="39" fillId="0" borderId="23" xfId="28" applyNumberFormat="1" applyFont="1" applyFill="1" applyBorder="1" applyAlignment="1">
      <alignment horizontal="center" vertical="top" wrapText="1"/>
    </xf>
    <xf numFmtId="43" fontId="39" fillId="0" borderId="23" xfId="28" applyFont="1" applyFill="1" applyBorder="1" applyAlignment="1">
      <alignment horizontal="center" vertical="top" wrapText="1"/>
    </xf>
    <xf numFmtId="0" fontId="42" fillId="0" borderId="23" xfId="0" applyFont="1" applyBorder="1"/>
    <xf numFmtId="0" fontId="1" fillId="0" borderId="23" xfId="0" applyFont="1" applyBorder="1"/>
    <xf numFmtId="187" fontId="37" fillId="0" borderId="23" xfId="0" applyNumberFormat="1" applyFont="1" applyBorder="1"/>
    <xf numFmtId="43" fontId="5" fillId="25" borderId="23" xfId="28" applyFont="1" applyFill="1" applyBorder="1" applyAlignment="1">
      <alignment horizontal="center"/>
    </xf>
    <xf numFmtId="191" fontId="32" fillId="0" borderId="23" xfId="28" applyNumberFormat="1" applyFont="1" applyBorder="1"/>
    <xf numFmtId="194" fontId="5" fillId="0" borderId="23" xfId="28" applyNumberFormat="1" applyFont="1" applyBorder="1"/>
    <xf numFmtId="187" fontId="36" fillId="0" borderId="0" xfId="50" applyNumberFormat="1"/>
    <xf numFmtId="0" fontId="36" fillId="0" borderId="0" xfId="50"/>
    <xf numFmtId="187" fontId="36" fillId="0" borderId="0" xfId="50" applyNumberFormat="1" applyFill="1"/>
    <xf numFmtId="0" fontId="6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91" fontId="5" fillId="0" borderId="23" xfId="28" applyNumberFormat="1" applyFont="1" applyFill="1" applyBorder="1" applyAlignment="1">
      <alignment horizontal="center" vertical="center"/>
    </xf>
    <xf numFmtId="43" fontId="5" fillId="0" borderId="23" xfId="28" applyFont="1" applyFill="1" applyBorder="1" applyAlignment="1">
      <alignment horizontal="center"/>
    </xf>
    <xf numFmtId="43" fontId="5" fillId="0" borderId="23" xfId="28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vertical="center"/>
    </xf>
    <xf numFmtId="43" fontId="6" fillId="0" borderId="23" xfId="28" applyFont="1" applyFill="1" applyBorder="1" applyAlignment="1">
      <alignment horizontal="center" vertical="center"/>
    </xf>
    <xf numFmtId="43" fontId="6" fillId="0" borderId="23" xfId="28" applyFont="1" applyFill="1" applyBorder="1" applyAlignment="1" applyProtection="1">
      <alignment horizontal="center"/>
      <protection locked="0"/>
    </xf>
    <xf numFmtId="43" fontId="6" fillId="0" borderId="23" xfId="28" applyFont="1" applyFill="1" applyBorder="1" applyProtection="1">
      <protection locked="0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/>
    </xf>
    <xf numFmtId="43" fontId="6" fillId="0" borderId="23" xfId="28" applyFont="1" applyFill="1" applyBorder="1" applyAlignment="1" applyProtection="1">
      <alignment horizontal="center" vertical="top" wrapText="1"/>
      <protection locked="0"/>
    </xf>
    <xf numFmtId="43" fontId="6" fillId="0" borderId="23" xfId="28" applyFont="1" applyFill="1" applyBorder="1" applyAlignment="1" applyProtection="1">
      <alignment vertical="top" wrapText="1"/>
      <protection locked="0"/>
    </xf>
    <xf numFmtId="0" fontId="6" fillId="0" borderId="23" xfId="0" applyFont="1" applyBorder="1" applyAlignment="1">
      <alignment horizontal="center" vertical="top"/>
    </xf>
    <xf numFmtId="43" fontId="6" fillId="0" borderId="23" xfId="28" applyFont="1" applyFill="1" applyBorder="1" applyAlignment="1">
      <alignment horizontal="center" vertical="top"/>
    </xf>
    <xf numFmtId="191" fontId="6" fillId="0" borderId="23" xfId="28" applyNumberFormat="1" applyFont="1" applyFill="1" applyBorder="1" applyAlignment="1" applyProtection="1">
      <alignment horizontal="center" vertical="top"/>
      <protection locked="0"/>
    </xf>
    <xf numFmtId="191" fontId="6" fillId="0" borderId="23" xfId="28" applyNumberFormat="1" applyFont="1" applyFill="1" applyBorder="1" applyAlignment="1" applyProtection="1">
      <alignment vertical="top"/>
      <protection locked="0"/>
    </xf>
    <xf numFmtId="191" fontId="6" fillId="0" borderId="23" xfId="0" applyNumberFormat="1" applyFont="1" applyBorder="1" applyAlignment="1">
      <alignment horizontal="center" vertical="top"/>
    </xf>
    <xf numFmtId="191" fontId="6" fillId="0" borderId="23" xfId="28" applyNumberFormat="1" applyFont="1" applyFill="1" applyBorder="1" applyAlignment="1" applyProtection="1">
      <alignment horizontal="center" vertical="center"/>
      <protection locked="0"/>
    </xf>
    <xf numFmtId="191" fontId="6" fillId="0" borderId="23" xfId="28" applyNumberFormat="1" applyFont="1" applyFill="1" applyBorder="1" applyAlignment="1" applyProtection="1">
      <alignment vertical="center"/>
      <protection locked="0"/>
    </xf>
    <xf numFmtId="191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43" fontId="6" fillId="0" borderId="23" xfId="28" applyFont="1" applyFill="1" applyBorder="1" applyAlignment="1" applyProtection="1">
      <alignment vertical="top"/>
      <protection locked="0"/>
    </xf>
    <xf numFmtId="43" fontId="6" fillId="0" borderId="23" xfId="28" applyFont="1" applyFill="1" applyBorder="1" applyAlignment="1" applyProtection="1">
      <alignment horizontal="center" vertical="top"/>
      <protection locked="0"/>
    </xf>
    <xf numFmtId="187" fontId="6" fillId="0" borderId="23" xfId="28" applyNumberFormat="1" applyFont="1" applyFill="1" applyBorder="1" applyAlignment="1" applyProtection="1">
      <alignment vertical="top"/>
      <protection locked="0"/>
    </xf>
    <xf numFmtId="43" fontId="6" fillId="0" borderId="23" xfId="28" applyFont="1" applyFill="1" applyBorder="1" applyAlignment="1" applyProtection="1">
      <alignment horizontal="center" wrapText="1"/>
      <protection locked="0"/>
    </xf>
    <xf numFmtId="0" fontId="6" fillId="25" borderId="23" xfId="0" applyFont="1" applyFill="1" applyBorder="1" applyAlignment="1" applyProtection="1">
      <alignment horizontal="center"/>
      <protection locked="0"/>
    </xf>
    <xf numFmtId="0" fontId="4" fillId="25" borderId="23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43" fontId="6" fillId="25" borderId="23" xfId="28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43" fontId="6" fillId="25" borderId="23" xfId="28" applyFont="1" applyFill="1" applyBorder="1" applyAlignment="1">
      <alignment horizontal="center"/>
    </xf>
    <xf numFmtId="43" fontId="6" fillId="25" borderId="23" xfId="28" applyFont="1" applyFill="1" applyBorder="1" applyAlignment="1" applyProtection="1">
      <alignment horizontal="center"/>
      <protection locked="0"/>
    </xf>
    <xf numFmtId="43" fontId="6" fillId="25" borderId="23" xfId="28" applyFont="1" applyFill="1" applyBorder="1" applyProtection="1">
      <protection locked="0"/>
    </xf>
    <xf numFmtId="187" fontId="6" fillId="25" borderId="23" xfId="28" applyNumberFormat="1" applyFont="1" applyFill="1" applyBorder="1" applyProtection="1">
      <protection locked="0"/>
    </xf>
    <xf numFmtId="0" fontId="6" fillId="25" borderId="23" xfId="28" applyNumberFormat="1" applyFont="1" applyFill="1" applyBorder="1" applyAlignment="1" applyProtection="1">
      <alignment horizontal="center"/>
      <protection locked="0"/>
    </xf>
    <xf numFmtId="0" fontId="5" fillId="25" borderId="23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top"/>
    </xf>
    <xf numFmtId="43" fontId="6" fillId="0" borderId="22" xfId="28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43" fontId="6" fillId="0" borderId="23" xfId="28" applyFont="1" applyFill="1" applyBorder="1" applyAlignment="1" applyProtection="1">
      <alignment horizontal="center" vertical="center"/>
      <protection locked="0"/>
    </xf>
    <xf numFmtId="43" fontId="6" fillId="0" borderId="23" xfId="28" applyFont="1" applyFill="1" applyBorder="1" applyAlignment="1" applyProtection="1">
      <alignment vertical="center"/>
      <protection locked="0"/>
    </xf>
    <xf numFmtId="0" fontId="5" fillId="25" borderId="23" xfId="0" applyFont="1" applyFill="1" applyBorder="1" applyAlignment="1" applyProtection="1">
      <alignment horizontal="center"/>
      <protection locked="0"/>
    </xf>
    <xf numFmtId="191" fontId="5" fillId="25" borderId="23" xfId="28" applyNumberFormat="1" applyFont="1" applyFill="1" applyBorder="1" applyAlignment="1" applyProtection="1">
      <alignment horizontal="center"/>
      <protection locked="0"/>
    </xf>
    <xf numFmtId="43" fontId="5" fillId="25" borderId="23" xfId="28" applyFont="1" applyFill="1" applyBorder="1" applyProtection="1">
      <protection locked="0"/>
    </xf>
    <xf numFmtId="43" fontId="5" fillId="25" borderId="23" xfId="28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4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3" fillId="0" borderId="20" xfId="0" applyFont="1" applyBorder="1"/>
    <xf numFmtId="0" fontId="5" fillId="0" borderId="20" xfId="0" applyFont="1" applyBorder="1"/>
    <xf numFmtId="0" fontId="2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45" fillId="0" borderId="23" xfId="28" applyFont="1" applyFill="1" applyBorder="1" applyAlignment="1">
      <alignment horizontal="center"/>
    </xf>
    <xf numFmtId="0" fontId="2" fillId="0" borderId="0" xfId="0" applyFont="1"/>
    <xf numFmtId="0" fontId="28" fillId="0" borderId="0" xfId="0" applyFont="1" applyAlignment="1">
      <alignment vertical="center"/>
    </xf>
    <xf numFmtId="187" fontId="28" fillId="0" borderId="0" xfId="0" applyNumberFormat="1" applyFont="1" applyAlignment="1">
      <alignment vertical="center"/>
    </xf>
    <xf numFmtId="39" fontId="28" fillId="0" borderId="0" xfId="0" applyNumberFormat="1" applyFont="1" applyAlignment="1">
      <alignment vertical="center"/>
    </xf>
    <xf numFmtId="43" fontId="28" fillId="0" borderId="0" xfId="28" applyFont="1" applyAlignment="1">
      <alignment vertical="center"/>
    </xf>
    <xf numFmtId="188" fontId="28" fillId="0" borderId="0" xfId="0" applyNumberFormat="1" applyFont="1" applyAlignment="1">
      <alignment vertical="center"/>
    </xf>
    <xf numFmtId="43" fontId="28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5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6" xfId="0" applyFont="1" applyBorder="1"/>
    <xf numFmtId="0" fontId="2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7" xfId="0" applyFont="1" applyBorder="1"/>
    <xf numFmtId="43" fontId="2" fillId="0" borderId="25" xfId="28" applyFont="1" applyFill="1" applyBorder="1" applyAlignment="1">
      <alignment horizontal="center" vertical="center"/>
    </xf>
    <xf numFmtId="43" fontId="2" fillId="0" borderId="36" xfId="28" applyFont="1" applyFill="1" applyBorder="1" applyAlignment="1">
      <alignment horizontal="center" vertical="center"/>
    </xf>
    <xf numFmtId="43" fontId="2" fillId="0" borderId="24" xfId="28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36" xfId="0" applyFont="1" applyBorder="1"/>
    <xf numFmtId="0" fontId="2" fillId="0" borderId="24" xfId="0" applyFont="1" applyBorder="1"/>
    <xf numFmtId="43" fontId="2" fillId="0" borderId="0" xfId="0" applyNumberFormat="1" applyFont="1"/>
    <xf numFmtId="0" fontId="2" fillId="0" borderId="0" xfId="0" applyFont="1" applyAlignment="1">
      <alignment vertical="center" wrapText="1"/>
    </xf>
    <xf numFmtId="0" fontId="45" fillId="0" borderId="0" xfId="0" applyFont="1" applyAlignment="1">
      <alignment horizontal="right"/>
    </xf>
    <xf numFmtId="43" fontId="45" fillId="0" borderId="0" xfId="28" applyFont="1" applyFill="1" applyBorder="1" applyAlignment="1">
      <alignment vertical="center"/>
    </xf>
    <xf numFmtId="0" fontId="47" fillId="0" borderId="37" xfId="0" applyFont="1" applyBorder="1"/>
    <xf numFmtId="0" fontId="47" fillId="0" borderId="37" xfId="0" applyFont="1" applyBorder="1" applyAlignment="1">
      <alignment horizontal="left"/>
    </xf>
    <xf numFmtId="0" fontId="45" fillId="0" borderId="38" xfId="0" applyFont="1" applyBorder="1" applyAlignment="1">
      <alignment horizontal="center" vertical="center"/>
    </xf>
    <xf numFmtId="191" fontId="45" fillId="0" borderId="38" xfId="28" applyNumberFormat="1" applyFont="1" applyFill="1" applyBorder="1" applyAlignment="1">
      <alignment horizontal="center" vertical="center"/>
    </xf>
    <xf numFmtId="191" fontId="45" fillId="0" borderId="19" xfId="28" applyNumberFormat="1" applyFont="1" applyFill="1" applyBorder="1" applyAlignment="1">
      <alignment horizontal="center" vertical="center" wrapText="1"/>
    </xf>
    <xf numFmtId="191" fontId="45" fillId="0" borderId="19" xfId="28" applyNumberFormat="1" applyFont="1" applyFill="1" applyBorder="1" applyAlignment="1">
      <alignment horizontal="center" vertical="center"/>
    </xf>
    <xf numFmtId="0" fontId="47" fillId="0" borderId="23" xfId="0" applyFont="1" applyBorder="1"/>
    <xf numFmtId="193" fontId="47" fillId="0" borderId="2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193" fontId="48" fillId="0" borderId="23" xfId="28" applyNumberFormat="1" applyFont="1" applyFill="1" applyBorder="1" applyAlignment="1">
      <alignment horizontal="center" vertical="center"/>
    </xf>
    <xf numFmtId="0" fontId="47" fillId="0" borderId="23" xfId="0" applyFont="1" applyBorder="1" applyAlignment="1">
      <alignment horizontal="left"/>
    </xf>
    <xf numFmtId="43" fontId="47" fillId="0" borderId="23" xfId="28" applyFont="1" applyFill="1" applyBorder="1" applyAlignment="1"/>
    <xf numFmtId="191" fontId="47" fillId="0" borderId="23" xfId="28" applyNumberFormat="1" applyFont="1" applyFill="1" applyBorder="1"/>
    <xf numFmtId="191" fontId="47" fillId="0" borderId="23" xfId="28" applyNumberFormat="1" applyFont="1" applyFill="1" applyBorder="1" applyAlignment="1"/>
    <xf numFmtId="0" fontId="47" fillId="0" borderId="11" xfId="0" applyFont="1" applyBorder="1" applyAlignment="1">
      <alignment horizontal="center"/>
    </xf>
    <xf numFmtId="43" fontId="47" fillId="0" borderId="11" xfId="0" applyNumberFormat="1" applyFont="1" applyBorder="1"/>
    <xf numFmtId="0" fontId="47" fillId="0" borderId="11" xfId="0" applyFont="1" applyBorder="1"/>
    <xf numFmtId="191" fontId="47" fillId="0" borderId="11" xfId="28" applyNumberFormat="1" applyFont="1" applyFill="1" applyBorder="1" applyAlignment="1"/>
    <xf numFmtId="0" fontId="47" fillId="0" borderId="12" xfId="0" applyFont="1" applyBorder="1" applyAlignment="1">
      <alignment horizontal="center"/>
    </xf>
    <xf numFmtId="0" fontId="47" fillId="0" borderId="12" xfId="0" applyFont="1" applyBorder="1"/>
    <xf numFmtId="191" fontId="47" fillId="0" borderId="12" xfId="28" applyNumberFormat="1" applyFont="1" applyFill="1" applyBorder="1" applyAlignment="1"/>
    <xf numFmtId="0" fontId="47" fillId="0" borderId="26" xfId="0" applyFont="1" applyBorder="1"/>
    <xf numFmtId="191" fontId="47" fillId="0" borderId="26" xfId="28" applyNumberFormat="1" applyFont="1" applyFill="1" applyBorder="1" applyAlignment="1"/>
    <xf numFmtId="43" fontId="45" fillId="0" borderId="38" xfId="28" applyFont="1" applyFill="1" applyBorder="1" applyAlignment="1"/>
    <xf numFmtId="0" fontId="47" fillId="0" borderId="38" xfId="0" applyFont="1" applyBorder="1"/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/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191" fontId="47" fillId="0" borderId="23" xfId="28" applyNumberFormat="1" applyFont="1" applyFill="1" applyBorder="1" applyAlignment="1">
      <alignment vertical="center"/>
    </xf>
    <xf numFmtId="0" fontId="2" fillId="0" borderId="11" xfId="0" applyFont="1" applyBorder="1"/>
    <xf numFmtId="0" fontId="2" fillId="0" borderId="47" xfId="0" applyFont="1" applyBorder="1"/>
    <xf numFmtId="194" fontId="2" fillId="0" borderId="22" xfId="0" applyNumberFormat="1" applyFont="1" applyBorder="1"/>
    <xf numFmtId="43" fontId="47" fillId="0" borderId="23" xfId="28" applyFont="1" applyFill="1" applyBorder="1" applyAlignment="1">
      <alignment horizontal="center" vertical="center"/>
    </xf>
    <xf numFmtId="0" fontId="47" fillId="0" borderId="23" xfId="0" applyFont="1" applyBorder="1" applyAlignment="1">
      <alignment horizontal="left" vertical="center"/>
    </xf>
    <xf numFmtId="43" fontId="45" fillId="0" borderId="23" xfId="28" applyFont="1" applyFill="1" applyBorder="1" applyAlignment="1">
      <alignment horizontal="center" vertical="center" wrapText="1"/>
    </xf>
    <xf numFmtId="191" fontId="45" fillId="0" borderId="23" xfId="28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43" fontId="47" fillId="0" borderId="23" xfId="28" applyFont="1" applyFill="1" applyBorder="1" applyAlignment="1">
      <alignment horizontal="center"/>
    </xf>
    <xf numFmtId="43" fontId="47" fillId="0" borderId="23" xfId="28" applyFont="1" applyFill="1" applyBorder="1" applyAlignment="1" applyProtection="1">
      <alignment horizontal="center"/>
      <protection locked="0"/>
    </xf>
    <xf numFmtId="187" fontId="47" fillId="0" borderId="0" xfId="0" applyNumberFormat="1" applyFont="1"/>
    <xf numFmtId="43" fontId="47" fillId="0" borderId="0" xfId="0" applyNumberFormat="1" applyFont="1"/>
    <xf numFmtId="43" fontId="48" fillId="0" borderId="23" xfId="28" applyFont="1" applyFill="1" applyBorder="1" applyAlignment="1">
      <alignment horizontal="center"/>
    </xf>
    <xf numFmtId="187" fontId="45" fillId="0" borderId="23" xfId="28" applyNumberFormat="1" applyFont="1" applyFill="1" applyBorder="1" applyProtection="1">
      <protection locked="0"/>
    </xf>
    <xf numFmtId="187" fontId="47" fillId="0" borderId="23" xfId="28" applyNumberFormat="1" applyFont="1" applyFill="1" applyBorder="1" applyProtection="1">
      <protection locked="0"/>
    </xf>
    <xf numFmtId="192" fontId="45" fillId="0" borderId="0" xfId="0" applyNumberFormat="1" applyFont="1" applyAlignment="1">
      <alignment vertical="center"/>
    </xf>
    <xf numFmtId="192" fontId="47" fillId="0" borderId="0" xfId="0" applyNumberFormat="1" applyFont="1" applyAlignment="1">
      <alignment vertical="center"/>
    </xf>
    <xf numFmtId="43" fontId="45" fillId="0" borderId="23" xfId="28" applyFont="1" applyFill="1" applyBorder="1" applyAlignment="1"/>
    <xf numFmtId="0" fontId="45" fillId="0" borderId="23" xfId="0" applyFont="1" applyBorder="1"/>
    <xf numFmtId="43" fontId="47" fillId="0" borderId="23" xfId="28" applyFont="1" applyFill="1" applyBorder="1" applyAlignment="1">
      <alignment horizontal="center" wrapText="1"/>
    </xf>
    <xf numFmtId="0" fontId="51" fillId="0" borderId="23" xfId="50" applyFont="1" applyBorder="1" applyAlignment="1">
      <alignment wrapText="1"/>
    </xf>
    <xf numFmtId="0" fontId="47" fillId="0" borderId="23" xfId="0" applyFont="1" applyBorder="1" applyAlignment="1">
      <alignment horizontal="center" vertical="top"/>
    </xf>
    <xf numFmtId="0" fontId="47" fillId="0" borderId="23" xfId="0" applyFont="1" applyBorder="1" applyAlignment="1">
      <alignment vertical="top"/>
    </xf>
    <xf numFmtId="43" fontId="47" fillId="0" borderId="23" xfId="28" applyFont="1" applyFill="1" applyBorder="1" applyAlignment="1">
      <alignment horizontal="center" vertical="top"/>
    </xf>
    <xf numFmtId="43" fontId="47" fillId="0" borderId="23" xfId="28" applyFont="1" applyFill="1" applyBorder="1" applyAlignment="1" applyProtection="1">
      <alignment horizontal="center" vertical="center"/>
      <protection locked="0"/>
    </xf>
    <xf numFmtId="43" fontId="47" fillId="0" borderId="23" xfId="28" applyFont="1" applyFill="1" applyBorder="1" applyAlignment="1" applyProtection="1">
      <alignment vertical="center"/>
      <protection locked="0"/>
    </xf>
    <xf numFmtId="191" fontId="47" fillId="0" borderId="23" xfId="0" applyNumberFormat="1" applyFont="1" applyBorder="1" applyAlignment="1">
      <alignment horizontal="center" vertical="center"/>
    </xf>
    <xf numFmtId="191" fontId="47" fillId="0" borderId="0" xfId="0" applyNumberFormat="1" applyFont="1" applyAlignment="1">
      <alignment vertical="top"/>
    </xf>
    <xf numFmtId="191" fontId="47" fillId="0" borderId="23" xfId="28" applyNumberFormat="1" applyFont="1" applyFill="1" applyBorder="1" applyAlignment="1">
      <alignment horizontal="left" vertical="top"/>
    </xf>
    <xf numFmtId="0" fontId="47" fillId="0" borderId="0" xfId="0" applyFont="1" applyAlignment="1">
      <alignment vertical="top"/>
    </xf>
    <xf numFmtId="43" fontId="47" fillId="0" borderId="0" xfId="28" applyFont="1" applyAlignment="1">
      <alignment vertical="top"/>
    </xf>
    <xf numFmtId="0" fontId="47" fillId="0" borderId="23" xfId="0" applyFont="1" applyBorder="1" applyAlignment="1">
      <alignment horizontal="center" vertical="top" wrapText="1"/>
    </xf>
    <xf numFmtId="191" fontId="47" fillId="0" borderId="0" xfId="0" applyNumberFormat="1" applyFont="1" applyAlignment="1">
      <alignment vertical="center"/>
    </xf>
    <xf numFmtId="191" fontId="47" fillId="0" borderId="23" xfId="28" applyNumberFormat="1" applyFont="1" applyFill="1" applyBorder="1" applyAlignment="1">
      <alignment horizontal="center" vertical="center"/>
    </xf>
    <xf numFmtId="191" fontId="47" fillId="0" borderId="23" xfId="28" applyNumberFormat="1" applyFont="1" applyBorder="1" applyAlignment="1">
      <alignment vertical="center"/>
    </xf>
    <xf numFmtId="187" fontId="47" fillId="0" borderId="23" xfId="28" applyNumberFormat="1" applyFont="1" applyFill="1" applyBorder="1" applyAlignment="1" applyProtection="1">
      <alignment vertical="center"/>
      <protection locked="0"/>
    </xf>
    <xf numFmtId="43" fontId="47" fillId="0" borderId="23" xfId="28" applyFont="1" applyFill="1" applyBorder="1" applyAlignment="1">
      <alignment horizontal="center" vertical="top" wrapText="1"/>
    </xf>
    <xf numFmtId="43" fontId="47" fillId="0" borderId="23" xfId="28" applyFont="1" applyFill="1" applyBorder="1" applyAlignment="1">
      <alignment horizontal="center" vertical="center" wrapText="1"/>
    </xf>
    <xf numFmtId="43" fontId="47" fillId="0" borderId="23" xfId="28" applyFont="1" applyFill="1" applyBorder="1" applyAlignment="1" applyProtection="1">
      <alignment horizontal="center" vertical="center" wrapText="1"/>
      <protection locked="0"/>
    </xf>
    <xf numFmtId="43" fontId="47" fillId="0" borderId="23" xfId="28" applyFont="1" applyFill="1" applyBorder="1" applyAlignment="1" applyProtection="1">
      <alignment vertical="center" wrapText="1"/>
      <protection locked="0"/>
    </xf>
    <xf numFmtId="0" fontId="47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7" fillId="0" borderId="23" xfId="0" applyFont="1" applyBorder="1" applyAlignment="1">
      <alignment vertical="top" wrapText="1"/>
    </xf>
    <xf numFmtId="191" fontId="47" fillId="0" borderId="23" xfId="28" applyNumberFormat="1" applyFont="1" applyFill="1" applyBorder="1" applyAlignment="1">
      <alignment horizontal="center" vertical="top" wrapText="1"/>
    </xf>
    <xf numFmtId="0" fontId="45" fillId="0" borderId="23" xfId="0" applyFont="1" applyBorder="1" applyAlignment="1">
      <alignment vertical="center"/>
    </xf>
    <xf numFmtId="191" fontId="47" fillId="0" borderId="23" xfId="28" applyNumberFormat="1" applyFont="1" applyFill="1" applyBorder="1" applyAlignment="1">
      <alignment horizontal="center"/>
    </xf>
    <xf numFmtId="191" fontId="47" fillId="0" borderId="23" xfId="28" applyNumberFormat="1" applyFont="1" applyFill="1" applyBorder="1" applyAlignment="1">
      <alignment horizontal="center" vertical="top"/>
    </xf>
    <xf numFmtId="0" fontId="51" fillId="0" borderId="23" xfId="50" applyFont="1" applyBorder="1"/>
    <xf numFmtId="190" fontId="47" fillId="0" borderId="0" xfId="0" applyNumberFormat="1" applyFont="1" applyAlignment="1">
      <alignment vertical="center"/>
    </xf>
    <xf numFmtId="0" fontId="47" fillId="0" borderId="23" xfId="0" applyFont="1" applyBorder="1" applyAlignment="1">
      <alignment wrapText="1"/>
    </xf>
    <xf numFmtId="43" fontId="51" fillId="0" borderId="23" xfId="50" applyNumberFormat="1" applyFont="1" applyFill="1" applyBorder="1" applyAlignment="1">
      <alignment vertical="center"/>
    </xf>
    <xf numFmtId="191" fontId="51" fillId="0" borderId="23" xfId="50" applyNumberFormat="1" applyFont="1" applyBorder="1" applyAlignment="1">
      <alignment vertical="center"/>
    </xf>
    <xf numFmtId="0" fontId="45" fillId="25" borderId="23" xfId="0" applyFont="1" applyFill="1" applyBorder="1" applyAlignment="1" applyProtection="1">
      <alignment horizontal="center"/>
      <protection locked="0"/>
    </xf>
    <xf numFmtId="191" fontId="45" fillId="25" borderId="23" xfId="28" applyNumberFormat="1" applyFont="1" applyFill="1" applyBorder="1" applyAlignment="1" applyProtection="1">
      <alignment horizontal="center"/>
      <protection locked="0"/>
    </xf>
    <xf numFmtId="43" fontId="45" fillId="25" borderId="23" xfId="28" applyFont="1" applyFill="1" applyBorder="1" applyAlignment="1" applyProtection="1">
      <alignment vertical="center"/>
      <protection locked="0"/>
    </xf>
    <xf numFmtId="43" fontId="45" fillId="25" borderId="23" xfId="28" applyFont="1" applyFill="1" applyBorder="1" applyAlignment="1" applyProtection="1">
      <alignment horizontal="center" vertical="center"/>
      <protection locked="0"/>
    </xf>
    <xf numFmtId="187" fontId="47" fillId="25" borderId="23" xfId="28" applyNumberFormat="1" applyFont="1" applyFill="1" applyBorder="1" applyAlignment="1" applyProtection="1">
      <alignment vertical="center"/>
      <protection locked="0"/>
    </xf>
    <xf numFmtId="191" fontId="47" fillId="0" borderId="0" xfId="28" applyNumberFormat="1" applyFont="1" applyBorder="1"/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 indent="5"/>
    </xf>
    <xf numFmtId="43" fontId="52" fillId="0" borderId="23" xfId="0" applyNumberFormat="1" applyFont="1" applyBorder="1" applyAlignment="1">
      <alignment vertical="center"/>
    </xf>
    <xf numFmtId="0" fontId="2" fillId="0" borderId="37" xfId="0" applyFont="1" applyBorder="1"/>
    <xf numFmtId="0" fontId="2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191" fontId="4" fillId="0" borderId="38" xfId="28" applyNumberFormat="1" applyFont="1" applyFill="1" applyBorder="1" applyAlignment="1">
      <alignment horizontal="center" vertical="center" wrapText="1"/>
    </xf>
    <xf numFmtId="191" fontId="4" fillId="0" borderId="19" xfId="28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3" fontId="2" fillId="0" borderId="23" xfId="28" applyFont="1" applyFill="1" applyBorder="1" applyAlignment="1">
      <alignment vertical="center"/>
    </xf>
    <xf numFmtId="193" fontId="44" fillId="0" borderId="23" xfId="28" applyNumberFormat="1" applyFont="1" applyFill="1" applyBorder="1" applyAlignment="1">
      <alignment vertical="center"/>
    </xf>
    <xf numFmtId="43" fontId="2" fillId="0" borderId="23" xfId="28" applyFont="1" applyBorder="1" applyAlignment="1">
      <alignment vertical="center"/>
    </xf>
    <xf numFmtId="191" fontId="2" fillId="0" borderId="23" xfId="28" applyNumberFormat="1" applyFont="1" applyFill="1" applyBorder="1" applyAlignment="1">
      <alignment vertical="center"/>
    </xf>
    <xf numFmtId="187" fontId="2" fillId="0" borderId="0" xfId="0" applyNumberFormat="1" applyFont="1" applyAlignment="1">
      <alignment vertical="center"/>
    </xf>
    <xf numFmtId="187" fontId="2" fillId="0" borderId="23" xfId="0" applyNumberFormat="1" applyFont="1" applyBorder="1" applyAlignment="1">
      <alignment vertical="center"/>
    </xf>
    <xf numFmtId="43" fontId="4" fillId="0" borderId="23" xfId="28" applyFont="1" applyFill="1" applyBorder="1" applyAlignment="1">
      <alignment vertical="center"/>
    </xf>
    <xf numFmtId="191" fontId="2" fillId="0" borderId="0" xfId="28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91" fontId="47" fillId="0" borderId="23" xfId="28" applyNumberFormat="1" applyFont="1" applyFill="1" applyBorder="1" applyAlignment="1">
      <alignment vertical="top"/>
    </xf>
    <xf numFmtId="191" fontId="47" fillId="0" borderId="23" xfId="0" applyNumberFormat="1" applyFont="1" applyBorder="1" applyAlignment="1">
      <alignment vertical="center"/>
    </xf>
    <xf numFmtId="0" fontId="51" fillId="0" borderId="23" xfId="50" applyFont="1" applyFill="1" applyBorder="1" applyAlignment="1">
      <alignment wrapText="1"/>
    </xf>
    <xf numFmtId="191" fontId="47" fillId="0" borderId="23" xfId="28" applyNumberFormat="1" applyFont="1" applyFill="1" applyBorder="1" applyAlignment="1">
      <alignment vertical="top" wrapText="1"/>
    </xf>
    <xf numFmtId="191" fontId="47" fillId="0" borderId="23" xfId="28" applyNumberFormat="1" applyFont="1" applyFill="1" applyBorder="1" applyAlignment="1">
      <alignment horizontal="left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43" fontId="0" fillId="0" borderId="0" xfId="28" applyFont="1" applyAlignment="1">
      <alignment vertical="center"/>
    </xf>
    <xf numFmtId="0" fontId="1" fillId="0" borderId="0" xfId="0" applyFont="1" applyAlignment="1">
      <alignment vertical="center"/>
    </xf>
    <xf numFmtId="43" fontId="0" fillId="24" borderId="0" xfId="28" applyFont="1" applyFill="1" applyAlignment="1">
      <alignment vertical="center"/>
    </xf>
    <xf numFmtId="0" fontId="0" fillId="24" borderId="0" xfId="0" applyFill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27" xfId="0" applyFont="1" applyBorder="1" applyAlignment="1">
      <alignment horizontal="left" vertical="center"/>
    </xf>
    <xf numFmtId="43" fontId="47" fillId="0" borderId="19" xfId="28" applyFont="1" applyFill="1" applyBorder="1" applyAlignment="1">
      <alignment horizontal="center" vertical="center"/>
    </xf>
    <xf numFmtId="43" fontId="47" fillId="0" borderId="19" xfId="28" applyFont="1" applyFill="1" applyBorder="1" applyAlignment="1">
      <alignment horizontal="center" vertical="top" wrapText="1"/>
    </xf>
    <xf numFmtId="43" fontId="47" fillId="0" borderId="19" xfId="28" applyFont="1" applyFill="1" applyBorder="1" applyAlignment="1" applyProtection="1">
      <alignment horizontal="center" wrapText="1"/>
      <protection locked="0"/>
    </xf>
    <xf numFmtId="191" fontId="0" fillId="0" borderId="0" xfId="28" applyNumberFormat="1" applyFont="1" applyBorder="1" applyAlignment="1">
      <alignment vertical="center"/>
    </xf>
    <xf numFmtId="191" fontId="6" fillId="24" borderId="0" xfId="28" applyNumberFormat="1" applyFont="1" applyFill="1" applyBorder="1" applyAlignment="1">
      <alignment horizontal="center" vertical="center"/>
    </xf>
    <xf numFmtId="43" fontId="36" fillId="0" borderId="0" xfId="50" applyNumberFormat="1" applyFill="1" applyBorder="1" applyAlignment="1">
      <alignment vertical="center"/>
    </xf>
    <xf numFmtId="0" fontId="36" fillId="0" borderId="0" xfId="50" applyBorder="1" applyAlignment="1">
      <alignment vertical="center"/>
    </xf>
    <xf numFmtId="191" fontId="0" fillId="0" borderId="0" xfId="28" applyNumberFormat="1" applyFont="1" applyFill="1" applyBorder="1" applyAlignment="1">
      <alignment vertical="center"/>
    </xf>
    <xf numFmtId="191" fontId="36" fillId="0" borderId="0" xfId="50" applyNumberFormat="1" applyBorder="1" applyAlignment="1">
      <alignment vertical="center"/>
    </xf>
    <xf numFmtId="191" fontId="51" fillId="0" borderId="23" xfId="50" applyNumberFormat="1" applyFont="1" applyFill="1" applyBorder="1" applyAlignment="1">
      <alignment vertical="center"/>
    </xf>
    <xf numFmtId="0" fontId="51" fillId="0" borderId="23" xfId="50" applyFont="1" applyFill="1" applyBorder="1" applyAlignment="1"/>
    <xf numFmtId="0" fontId="51" fillId="0" borderId="23" xfId="50" applyFont="1" applyBorder="1" applyAlignment="1"/>
    <xf numFmtId="0" fontId="36" fillId="0" borderId="0" xfId="50" applyAlignment="1">
      <alignment vertical="center"/>
    </xf>
    <xf numFmtId="0" fontId="36" fillId="0" borderId="0" xfId="50" applyFill="1" applyAlignment="1">
      <alignment vertical="center"/>
    </xf>
    <xf numFmtId="43" fontId="49" fillId="0" borderId="19" xfId="28" applyFont="1" applyFill="1" applyBorder="1" applyAlignment="1" applyProtection="1">
      <alignment vertical="top" wrapText="1"/>
      <protection locked="0"/>
    </xf>
    <xf numFmtId="0" fontId="36" fillId="0" borderId="0" xfId="50" applyAlignment="1">
      <alignment horizontal="center" vertical="center"/>
    </xf>
    <xf numFmtId="191" fontId="51" fillId="0" borderId="22" xfId="28" applyNumberFormat="1" applyFont="1" applyFill="1" applyBorder="1" applyAlignment="1">
      <alignment vertical="center"/>
    </xf>
    <xf numFmtId="43" fontId="36" fillId="0" borderId="22" xfId="50" applyNumberFormat="1" applyFill="1" applyBorder="1" applyAlignment="1">
      <alignment vertical="center"/>
    </xf>
    <xf numFmtId="0" fontId="36" fillId="0" borderId="22" xfId="50" applyBorder="1" applyAlignment="1">
      <alignment vertical="center"/>
    </xf>
    <xf numFmtId="43" fontId="47" fillId="0" borderId="23" xfId="28" applyFont="1" applyFill="1" applyBorder="1" applyAlignment="1">
      <alignment vertical="center"/>
    </xf>
    <xf numFmtId="43" fontId="47" fillId="0" borderId="23" xfId="28" applyFont="1" applyFill="1" applyBorder="1" applyAlignment="1">
      <alignment wrapText="1"/>
    </xf>
    <xf numFmtId="43" fontId="47" fillId="0" borderId="23" xfId="28" applyFont="1" applyFill="1" applyBorder="1" applyAlignment="1">
      <alignment vertical="center" wrapText="1"/>
    </xf>
    <xf numFmtId="43" fontId="0" fillId="0" borderId="23" xfId="28" applyFont="1" applyBorder="1" applyAlignment="1">
      <alignment vertical="center"/>
    </xf>
    <xf numFmtId="43" fontId="34" fillId="0" borderId="23" xfId="28" applyFont="1" applyFill="1" applyBorder="1" applyAlignment="1">
      <alignment vertical="center"/>
    </xf>
    <xf numFmtId="43" fontId="6" fillId="0" borderId="23" xfId="28" applyFont="1" applyBorder="1" applyAlignment="1">
      <alignment horizontal="center" vertical="center"/>
    </xf>
    <xf numFmtId="43" fontId="36" fillId="0" borderId="23" xfId="28" applyFont="1" applyBorder="1" applyAlignment="1">
      <alignment vertical="center"/>
    </xf>
    <xf numFmtId="43" fontId="6" fillId="0" borderId="0" xfId="28" applyFont="1" applyAlignment="1">
      <alignment horizontal="center" vertical="center"/>
    </xf>
    <xf numFmtId="43" fontId="58" fillId="0" borderId="23" xfId="28" applyFont="1" applyFill="1" applyBorder="1" applyAlignment="1" applyProtection="1">
      <alignment vertical="center"/>
      <protection locked="0"/>
    </xf>
    <xf numFmtId="0" fontId="56" fillId="0" borderId="23" xfId="0" applyFont="1" applyBorder="1"/>
    <xf numFmtId="43" fontId="47" fillId="0" borderId="23" xfId="28" applyFont="1" applyFill="1" applyBorder="1" applyAlignment="1" applyProtection="1">
      <alignment horizontal="center" wrapText="1"/>
      <protection locked="0"/>
    </xf>
    <xf numFmtId="43" fontId="47" fillId="0" borderId="23" xfId="28" applyFont="1" applyFill="1" applyBorder="1" applyAlignment="1" applyProtection="1">
      <alignment vertical="top" wrapText="1"/>
      <protection locked="0"/>
    </xf>
    <xf numFmtId="0" fontId="2" fillId="0" borderId="23" xfId="0" applyFont="1" applyBorder="1"/>
    <xf numFmtId="191" fontId="47" fillId="0" borderId="0" xfId="28" applyNumberFormat="1" applyFont="1"/>
    <xf numFmtId="191" fontId="47" fillId="0" borderId="0" xfId="28" applyNumberFormat="1" applyFont="1" applyAlignment="1">
      <alignment vertical="center" wrapText="1"/>
    </xf>
    <xf numFmtId="191" fontId="47" fillId="0" borderId="23" xfId="28" applyNumberFormat="1" applyFont="1" applyBorder="1" applyAlignment="1">
      <alignment vertical="top" wrapText="1"/>
    </xf>
    <xf numFmtId="191" fontId="51" fillId="0" borderId="23" xfId="28" applyNumberFormat="1" applyFont="1" applyBorder="1" applyAlignment="1">
      <alignment vertical="center"/>
    </xf>
    <xf numFmtId="191" fontId="51" fillId="0" borderId="23" xfId="28" applyNumberFormat="1" applyFont="1" applyBorder="1" applyAlignment="1"/>
    <xf numFmtId="191" fontId="47" fillId="0" borderId="23" xfId="28" applyNumberFormat="1" applyFont="1" applyBorder="1"/>
    <xf numFmtId="191" fontId="36" fillId="0" borderId="23" xfId="28" applyNumberFormat="1" applyFont="1" applyBorder="1" applyAlignment="1">
      <alignment vertical="center"/>
    </xf>
    <xf numFmtId="191" fontId="0" fillId="0" borderId="0" xfId="28" applyNumberFormat="1" applyFont="1" applyAlignment="1">
      <alignment vertical="center"/>
    </xf>
    <xf numFmtId="191" fontId="36" fillId="0" borderId="0" xfId="28" applyNumberFormat="1" applyFont="1" applyAlignment="1">
      <alignment vertical="center"/>
    </xf>
    <xf numFmtId="191" fontId="34" fillId="0" borderId="0" xfId="28" applyNumberFormat="1" applyFont="1"/>
    <xf numFmtId="0" fontId="47" fillId="0" borderId="31" xfId="0" applyFont="1" applyBorder="1"/>
    <xf numFmtId="191" fontId="47" fillId="0" borderId="23" xfId="28" applyNumberFormat="1" applyFont="1" applyBorder="1" applyAlignment="1">
      <alignment wrapText="1"/>
    </xf>
    <xf numFmtId="191" fontId="47" fillId="0" borderId="23" xfId="28" applyNumberFormat="1" applyFont="1" applyBorder="1" applyAlignment="1">
      <alignment vertical="top"/>
    </xf>
    <xf numFmtId="191" fontId="47" fillId="0" borderId="23" xfId="28" applyNumberFormat="1" applyFont="1" applyBorder="1" applyAlignment="1">
      <alignment vertical="center" wrapText="1"/>
    </xf>
    <xf numFmtId="191" fontId="47" fillId="24" borderId="23" xfId="28" applyNumberFormat="1" applyFont="1" applyFill="1" applyBorder="1" applyAlignment="1">
      <alignment vertical="center"/>
    </xf>
    <xf numFmtId="43" fontId="47" fillId="24" borderId="23" xfId="28" applyFont="1" applyFill="1" applyBorder="1" applyAlignment="1">
      <alignment horizontal="center" vertical="center"/>
    </xf>
    <xf numFmtId="0" fontId="47" fillId="24" borderId="23" xfId="0" applyFont="1" applyFill="1" applyBorder="1" applyAlignment="1">
      <alignment horizontal="center" vertical="center"/>
    </xf>
    <xf numFmtId="43" fontId="57" fillId="0" borderId="0" xfId="28" applyFont="1" applyFill="1" applyBorder="1" applyAlignment="1">
      <alignment vertical="center"/>
    </xf>
    <xf numFmtId="0" fontId="60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191" fontId="59" fillId="0" borderId="15" xfId="28" applyNumberFormat="1" applyFont="1" applyFill="1" applyBorder="1" applyAlignment="1">
      <alignment horizontal="right"/>
    </xf>
    <xf numFmtId="0" fontId="59" fillId="0" borderId="15" xfId="0" applyFont="1" applyBorder="1"/>
    <xf numFmtId="0" fontId="60" fillId="0" borderId="13" xfId="28" applyNumberFormat="1" applyFont="1" applyFill="1" applyBorder="1" applyAlignment="1">
      <alignment horizontal="left"/>
    </xf>
    <xf numFmtId="0" fontId="60" fillId="0" borderId="15" xfId="0" applyFont="1" applyBorder="1" applyAlignment="1">
      <alignment horizontal="right"/>
    </xf>
    <xf numFmtId="43" fontId="59" fillId="0" borderId="0" xfId="28" applyFont="1" applyFill="1" applyBorder="1" applyAlignment="1">
      <alignment vertical="center"/>
    </xf>
    <xf numFmtId="189" fontId="61" fillId="0" borderId="15" xfId="0" applyNumberFormat="1" applyFont="1" applyBorder="1"/>
    <xf numFmtId="0" fontId="56" fillId="0" borderId="15" xfId="0" applyFont="1" applyBorder="1" applyAlignment="1">
      <alignment horizontal="center"/>
    </xf>
    <xf numFmtId="0" fontId="57" fillId="0" borderId="15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191" fontId="57" fillId="0" borderId="15" xfId="28" applyNumberFormat="1" applyFont="1" applyFill="1" applyBorder="1" applyAlignment="1">
      <alignment horizontal="right"/>
    </xf>
    <xf numFmtId="0" fontId="57" fillId="0" borderId="15" xfId="0" applyFont="1" applyBorder="1"/>
    <xf numFmtId="0" fontId="56" fillId="0" borderId="13" xfId="28" applyNumberFormat="1" applyFont="1" applyFill="1" applyBorder="1" applyAlignment="1">
      <alignment horizontal="left"/>
    </xf>
    <xf numFmtId="0" fontId="56" fillId="0" borderId="15" xfId="0" applyFont="1" applyBorder="1" applyAlignment="1">
      <alignment horizontal="right"/>
    </xf>
    <xf numFmtId="189" fontId="62" fillId="0" borderId="15" xfId="0" applyNumberFormat="1" applyFont="1" applyBorder="1"/>
    <xf numFmtId="0" fontId="60" fillId="0" borderId="36" xfId="0" applyFont="1" applyBorder="1" applyAlignment="1">
      <alignment horizontal="right"/>
    </xf>
    <xf numFmtId="0" fontId="60" fillId="0" borderId="36" xfId="0" applyFont="1" applyBorder="1" applyAlignment="1">
      <alignment horizontal="left"/>
    </xf>
    <xf numFmtId="43" fontId="60" fillId="0" borderId="0" xfId="28" applyFont="1" applyFill="1" applyBorder="1" applyAlignment="1">
      <alignment vertical="center"/>
    </xf>
    <xf numFmtId="0" fontId="60" fillId="0" borderId="15" xfId="0" applyFont="1" applyBorder="1"/>
    <xf numFmtId="191" fontId="56" fillId="0" borderId="0" xfId="28" applyNumberFormat="1" applyFont="1" applyFill="1" applyBorder="1" applyAlignment="1">
      <alignment vertical="center"/>
    </xf>
    <xf numFmtId="43" fontId="56" fillId="0" borderId="0" xfId="28" applyFont="1" applyFill="1" applyBorder="1" applyAlignment="1">
      <alignment vertical="center"/>
    </xf>
    <xf numFmtId="0" fontId="64" fillId="0" borderId="13" xfId="0" applyFont="1" applyBorder="1" applyAlignment="1">
      <alignment horizontal="center"/>
    </xf>
    <xf numFmtId="43" fontId="45" fillId="0" borderId="23" xfId="28" applyFont="1" applyFill="1" applyBorder="1" applyAlignment="1" applyProtection="1">
      <protection locked="0"/>
    </xf>
    <xf numFmtId="43" fontId="45" fillId="0" borderId="23" xfId="28" applyFont="1" applyFill="1" applyBorder="1" applyProtection="1">
      <protection locked="0"/>
    </xf>
    <xf numFmtId="43" fontId="45" fillId="0" borderId="23" xfId="28" applyFont="1" applyFill="1" applyBorder="1" applyAlignment="1" applyProtection="1">
      <alignment vertical="center"/>
      <protection locked="0"/>
    </xf>
    <xf numFmtId="43" fontId="45" fillId="0" borderId="0" xfId="28" applyFont="1" applyFill="1" applyBorder="1" applyAlignment="1">
      <alignment horizontal="center"/>
    </xf>
    <xf numFmtId="43" fontId="0" fillId="0" borderId="0" xfId="28" applyFont="1" applyFill="1" applyAlignment="1">
      <alignment vertical="center"/>
    </xf>
    <xf numFmtId="195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43" fontId="47" fillId="0" borderId="23" xfId="28" applyFont="1" applyFill="1" applyBorder="1" applyAlignment="1" applyProtection="1">
      <alignment horizontal="left"/>
      <protection locked="0"/>
    </xf>
    <xf numFmtId="43" fontId="47" fillId="0" borderId="23" xfId="28" applyFont="1" applyFill="1" applyBorder="1" applyAlignment="1">
      <alignment horizontal="left"/>
    </xf>
    <xf numFmtId="43" fontId="47" fillId="0" borderId="23" xfId="0" applyNumberFormat="1" applyFont="1" applyBorder="1" applyAlignment="1">
      <alignment horizontal="center"/>
    </xf>
    <xf numFmtId="195" fontId="47" fillId="0" borderId="23" xfId="28" applyNumberFormat="1" applyFont="1" applyFill="1" applyBorder="1" applyAlignment="1">
      <alignment horizontal="center"/>
    </xf>
    <xf numFmtId="4" fontId="6" fillId="0" borderId="23" xfId="0" applyNumberFormat="1" applyFont="1" applyBorder="1" applyAlignment="1">
      <alignment horizontal="right" vertical="center" wrapText="1"/>
    </xf>
    <xf numFmtId="191" fontId="47" fillId="0" borderId="0" xfId="0" applyNumberFormat="1" applyFont="1"/>
    <xf numFmtId="4" fontId="6" fillId="0" borderId="0" xfId="0" applyNumberFormat="1" applyFont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192" fontId="62" fillId="0" borderId="0" xfId="0" applyNumberFormat="1" applyFont="1" applyAlignment="1">
      <alignment vertical="center"/>
    </xf>
    <xf numFmtId="0" fontId="47" fillId="0" borderId="23" xfId="28" applyNumberFormat="1" applyFont="1" applyFill="1" applyBorder="1" applyAlignment="1" applyProtection="1">
      <alignment horizontal="center"/>
      <protection locked="0"/>
    </xf>
    <xf numFmtId="43" fontId="47" fillId="0" borderId="23" xfId="28" applyFont="1" applyFill="1" applyBorder="1" applyProtection="1">
      <protection locked="0"/>
    </xf>
    <xf numFmtId="0" fontId="48" fillId="0" borderId="0" xfId="0" applyFont="1"/>
    <xf numFmtId="187" fontId="47" fillId="0" borderId="23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horizontal="left" vertical="center"/>
    </xf>
    <xf numFmtId="187" fontId="48" fillId="0" borderId="0" xfId="0" applyNumberFormat="1" applyFont="1"/>
    <xf numFmtId="0" fontId="50" fillId="0" borderId="23" xfId="0" applyFont="1" applyBorder="1" applyAlignment="1">
      <alignment horizontal="center" vertical="center"/>
    </xf>
    <xf numFmtId="43" fontId="48" fillId="0" borderId="23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right" vertical="center"/>
    </xf>
    <xf numFmtId="43" fontId="47" fillId="0" borderId="23" xfId="28" applyFont="1" applyFill="1" applyBorder="1" applyAlignment="1" applyProtection="1">
      <protection locked="0"/>
    </xf>
    <xf numFmtId="191" fontId="48" fillId="0" borderId="0" xfId="0" applyNumberFormat="1" applyFont="1"/>
    <xf numFmtId="0" fontId="45" fillId="0" borderId="23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67" fillId="0" borderId="23" xfId="0" applyFont="1" applyBorder="1" applyAlignment="1">
      <alignment horizontal="left" vertical="center"/>
    </xf>
    <xf numFmtId="0" fontId="47" fillId="0" borderId="23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left" vertical="center"/>
    </xf>
    <xf numFmtId="192" fontId="57" fillId="0" borderId="0" xfId="0" applyNumberFormat="1" applyFont="1" applyAlignment="1">
      <alignment vertical="center"/>
    </xf>
    <xf numFmtId="192" fontId="56" fillId="0" borderId="0" xfId="0" applyNumberFormat="1" applyFont="1" applyAlignment="1">
      <alignment vertical="center"/>
    </xf>
    <xf numFmtId="4" fontId="6" fillId="0" borderId="23" xfId="0" applyNumberFormat="1" applyFont="1" applyBorder="1" applyAlignment="1">
      <alignment horizontal="right" vertical="center"/>
    </xf>
    <xf numFmtId="0" fontId="45" fillId="0" borderId="23" xfId="0" applyFont="1" applyBorder="1" applyAlignment="1" applyProtection="1">
      <alignment horizontal="center"/>
      <protection locked="0"/>
    </xf>
    <xf numFmtId="191" fontId="45" fillId="0" borderId="23" xfId="28" applyNumberFormat="1" applyFont="1" applyFill="1" applyBorder="1" applyAlignment="1" applyProtection="1">
      <alignment horizontal="center"/>
      <protection locked="0"/>
    </xf>
    <xf numFmtId="43" fontId="45" fillId="0" borderId="23" xfId="28" applyFont="1" applyFill="1" applyBorder="1" applyAlignment="1" applyProtection="1">
      <alignment horizontal="center" vertical="center"/>
      <protection locked="0"/>
    </xf>
    <xf numFmtId="43" fontId="52" fillId="0" borderId="2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9" fillId="0" borderId="15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5" xfId="0" applyFont="1" applyBorder="1" applyAlignment="1">
      <alignment horizontal="center"/>
    </xf>
    <xf numFmtId="192" fontId="60" fillId="0" borderId="15" xfId="0" applyNumberFormat="1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91" fontId="4" fillId="0" borderId="28" xfId="28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91" fontId="4" fillId="0" borderId="29" xfId="28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191" fontId="59" fillId="0" borderId="15" xfId="28" applyNumberFormat="1" applyFont="1" applyFill="1" applyBorder="1" applyAlignment="1">
      <alignment horizontal="right"/>
    </xf>
    <xf numFmtId="43" fontId="2" fillId="0" borderId="14" xfId="28" applyFont="1" applyFill="1" applyBorder="1" applyAlignment="1">
      <alignment horizontal="center" vertical="center"/>
    </xf>
    <xf numFmtId="43" fontId="2" fillId="0" borderId="15" xfId="28" applyFont="1" applyFill="1" applyBorder="1" applyAlignment="1">
      <alignment horizontal="center" vertical="center"/>
    </xf>
    <xf numFmtId="43" fontId="2" fillId="0" borderId="16" xfId="28" applyFont="1" applyFill="1" applyBorder="1" applyAlignment="1">
      <alignment horizontal="center" vertical="center"/>
    </xf>
    <xf numFmtId="0" fontId="46" fillId="0" borderId="46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41" xfId="0" applyFont="1" applyBorder="1" applyAlignment="1">
      <alignment horizontal="left"/>
    </xf>
    <xf numFmtId="191" fontId="2" fillId="0" borderId="46" xfId="28" applyNumberFormat="1" applyFont="1" applyFill="1" applyBorder="1" applyAlignment="1">
      <alignment horizontal="center"/>
    </xf>
    <xf numFmtId="191" fontId="2" fillId="0" borderId="13" xfId="28" applyNumberFormat="1" applyFont="1" applyFill="1" applyBorder="1" applyAlignment="1">
      <alignment horizontal="center"/>
    </xf>
    <xf numFmtId="191" fontId="2" fillId="0" borderId="41" xfId="28" applyNumberFormat="1" applyFont="1" applyFill="1" applyBorder="1" applyAlignment="1">
      <alignment horizontal="center"/>
    </xf>
    <xf numFmtId="43" fontId="2" fillId="0" borderId="14" xfId="28" applyFont="1" applyFill="1" applyBorder="1" applyAlignment="1">
      <alignment horizontal="center"/>
    </xf>
    <xf numFmtId="43" fontId="2" fillId="0" borderId="15" xfId="28" applyFont="1" applyFill="1" applyBorder="1" applyAlignment="1">
      <alignment horizontal="center"/>
    </xf>
    <xf numFmtId="43" fontId="2" fillId="0" borderId="16" xfId="28" applyFont="1" applyFill="1" applyBorder="1" applyAlignment="1">
      <alignment horizontal="center"/>
    </xf>
    <xf numFmtId="43" fontId="2" fillId="0" borderId="25" xfId="28" applyFont="1" applyFill="1" applyBorder="1" applyAlignment="1">
      <alignment horizontal="center" vertical="center"/>
    </xf>
    <xf numFmtId="43" fontId="2" fillId="0" borderId="36" xfId="28" applyFont="1" applyFill="1" applyBorder="1" applyAlignment="1">
      <alignment horizontal="center" vertical="center"/>
    </xf>
    <xf numFmtId="43" fontId="2" fillId="0" borderId="24" xfId="28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43" fontId="4" fillId="0" borderId="21" xfId="28" applyFont="1" applyFill="1" applyBorder="1" applyAlignment="1"/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45" fillId="0" borderId="48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45" fillId="0" borderId="45" xfId="0" applyFont="1" applyBorder="1" applyAlignment="1">
      <alignment horizontal="right"/>
    </xf>
    <xf numFmtId="0" fontId="45" fillId="0" borderId="51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45" fillId="0" borderId="23" xfId="0" applyFont="1" applyBorder="1" applyAlignment="1">
      <alignment horizontal="center"/>
    </xf>
    <xf numFmtId="191" fontId="6" fillId="0" borderId="0" xfId="28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55" xfId="0" applyFont="1" applyBorder="1" applyAlignment="1">
      <alignment horizontal="left" vertical="center"/>
    </xf>
    <xf numFmtId="0" fontId="49" fillId="0" borderId="44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192" fontId="56" fillId="0" borderId="15" xfId="0" applyNumberFormat="1" applyFont="1" applyBorder="1" applyAlignment="1">
      <alignment horizontal="left"/>
    </xf>
    <xf numFmtId="0" fontId="45" fillId="0" borderId="3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7" fillId="0" borderId="23" xfId="0" applyFont="1" applyBorder="1" applyAlignment="1">
      <alignment horizontal="left"/>
    </xf>
    <xf numFmtId="0" fontId="45" fillId="0" borderId="23" xfId="0" applyFont="1" applyBorder="1" applyAlignment="1">
      <alignment horizontal="left" vertical="center"/>
    </xf>
    <xf numFmtId="0" fontId="49" fillId="0" borderId="23" xfId="0" applyFont="1" applyBorder="1" applyAlignment="1">
      <alignment horizontal="left"/>
    </xf>
    <xf numFmtId="0" fontId="49" fillId="0" borderId="57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25" xfId="0" applyFont="1" applyBorder="1" applyAlignment="1">
      <alignment horizontal="left"/>
    </xf>
    <xf numFmtId="0" fontId="49" fillId="0" borderId="36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191" fontId="56" fillId="0" borderId="15" xfId="28" applyNumberFormat="1" applyFont="1" applyFill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191" fontId="2" fillId="0" borderId="0" xfId="28" applyNumberFormat="1" applyFont="1" applyFill="1" applyBorder="1" applyAlignment="1">
      <alignment horizontal="left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91" fontId="60" fillId="0" borderId="15" xfId="28" applyNumberFormat="1" applyFont="1" applyFill="1" applyBorder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5" fillId="0" borderId="20" xfId="0" applyFont="1" applyBorder="1" applyAlignment="1" applyProtection="1">
      <alignment horizontal="center"/>
      <protection locked="0"/>
    </xf>
    <xf numFmtId="0" fontId="45" fillId="0" borderId="21" xfId="0" applyFont="1" applyBorder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5" fillId="0" borderId="20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45" fillId="0" borderId="23" xfId="0" applyFont="1" applyBorder="1" applyAlignment="1">
      <alignment horizontal="center" vertical="center"/>
    </xf>
    <xf numFmtId="43" fontId="45" fillId="0" borderId="23" xfId="28" applyFont="1" applyFill="1" applyBorder="1" applyAlignment="1">
      <alignment horizontal="center"/>
    </xf>
    <xf numFmtId="43" fontId="45" fillId="0" borderId="23" xfId="28" applyFont="1" applyFill="1" applyBorder="1" applyAlignment="1">
      <alignment horizontal="center" vertical="center" wrapText="1"/>
    </xf>
    <xf numFmtId="191" fontId="45" fillId="0" borderId="23" xfId="28" applyNumberFormat="1" applyFont="1" applyFill="1" applyBorder="1" applyAlignment="1">
      <alignment horizontal="center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45" fillId="25" borderId="23" xfId="0" applyFont="1" applyFill="1" applyBorder="1" applyAlignment="1">
      <alignment horizontal="left" vertical="center"/>
    </xf>
    <xf numFmtId="0" fontId="45" fillId="25" borderId="20" xfId="0" applyFont="1" applyFill="1" applyBorder="1" applyAlignment="1">
      <alignment horizontal="left" vertical="center"/>
    </xf>
    <xf numFmtId="0" fontId="45" fillId="25" borderId="21" xfId="0" applyFont="1" applyFill="1" applyBorder="1" applyAlignment="1">
      <alignment horizontal="left" vertical="center"/>
    </xf>
    <xf numFmtId="0" fontId="45" fillId="25" borderId="22" xfId="0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45" fillId="25" borderId="20" xfId="0" applyFont="1" applyFill="1" applyBorder="1" applyAlignment="1" applyProtection="1">
      <alignment horizontal="center"/>
      <protection locked="0"/>
    </xf>
    <xf numFmtId="0" fontId="45" fillId="25" borderId="21" xfId="0" applyFont="1" applyFill="1" applyBorder="1" applyAlignment="1" applyProtection="1">
      <alignment horizontal="center"/>
      <protection locked="0"/>
    </xf>
    <xf numFmtId="0" fontId="45" fillId="25" borderId="22" xfId="0" applyFont="1" applyFill="1" applyBorder="1" applyAlignment="1" applyProtection="1">
      <alignment horizontal="center"/>
      <protection locked="0"/>
    </xf>
    <xf numFmtId="0" fontId="56" fillId="0" borderId="2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3" fontId="6" fillId="0" borderId="0" xfId="48" applyFont="1" applyFill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192" fontId="6" fillId="0" borderId="0" xfId="0" applyNumberFormat="1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91" fontId="5" fillId="0" borderId="58" xfId="28" applyNumberFormat="1" applyFont="1" applyFill="1" applyBorder="1" applyAlignment="1">
      <alignment horizontal="center" vertical="center"/>
    </xf>
    <xf numFmtId="191" fontId="5" fillId="0" borderId="10" xfId="28" applyNumberFormat="1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5" fillId="0" borderId="56" xfId="28" applyFont="1" applyFill="1" applyBorder="1" applyAlignment="1">
      <alignment horizontal="center"/>
    </xf>
    <xf numFmtId="43" fontId="5" fillId="0" borderId="47" xfId="28" applyFont="1" applyFill="1" applyBorder="1" applyAlignment="1">
      <alignment horizontal="center"/>
    </xf>
    <xf numFmtId="43" fontId="5" fillId="0" borderId="19" xfId="28" applyFont="1" applyFill="1" applyBorder="1" applyAlignment="1">
      <alignment horizontal="center" vertical="center" wrapText="1"/>
    </xf>
    <xf numFmtId="43" fontId="5" fillId="0" borderId="39" xfId="28" applyFont="1" applyFill="1" applyBorder="1" applyAlignment="1">
      <alignment horizontal="center" vertical="center" wrapText="1"/>
    </xf>
    <xf numFmtId="191" fontId="37" fillId="0" borderId="23" xfId="28" applyNumberFormat="1" applyFont="1" applyFill="1" applyBorder="1" applyAlignment="1">
      <alignment horizontal="center" vertical="center"/>
    </xf>
    <xf numFmtId="43" fontId="5" fillId="0" borderId="0" xfId="28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43" fontId="5" fillId="0" borderId="37" xfId="28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3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91" fontId="5" fillId="0" borderId="23" xfId="28" applyNumberFormat="1" applyFont="1" applyFill="1" applyBorder="1" applyAlignment="1">
      <alignment horizontal="center" vertical="center"/>
    </xf>
    <xf numFmtId="43" fontId="5" fillId="0" borderId="23" xfId="28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43" fontId="5" fillId="0" borderId="23" xfId="28" applyFont="1" applyFill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5" fillId="25" borderId="20" xfId="0" applyFont="1" applyFill="1" applyBorder="1" applyAlignment="1" applyProtection="1">
      <alignment horizontal="center"/>
      <protection locked="0"/>
    </xf>
    <xf numFmtId="0" fontId="5" fillId="25" borderId="21" xfId="0" applyFont="1" applyFill="1" applyBorder="1" applyAlignment="1" applyProtection="1">
      <alignment horizontal="center"/>
      <protection locked="0"/>
    </xf>
    <xf numFmtId="0" fontId="5" fillId="25" borderId="22" xfId="0" applyFont="1" applyFill="1" applyBorder="1" applyAlignment="1" applyProtection="1">
      <alignment horizontal="center"/>
      <protection locked="0"/>
    </xf>
    <xf numFmtId="0" fontId="6" fillId="0" borderId="4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191" fontId="6" fillId="0" borderId="15" xfId="28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9" fontId="6" fillId="0" borderId="15" xfId="0" applyNumberFormat="1" applyFont="1" applyBorder="1" applyAlignment="1">
      <alignment horizontal="left"/>
    </xf>
    <xf numFmtId="192" fontId="6" fillId="0" borderId="15" xfId="0" applyNumberFormat="1" applyFont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5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4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4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91" fontId="5" fillId="0" borderId="15" xfId="28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50" xfId="0" applyFont="1" applyBorder="1" applyAlignment="1">
      <alignment horizontal="center" vertical="center"/>
    </xf>
    <xf numFmtId="191" fontId="5" fillId="0" borderId="48" xfId="28" applyNumberFormat="1" applyFont="1" applyFill="1" applyBorder="1" applyAlignment="1">
      <alignment horizontal="center" vertical="center" wrapText="1"/>
    </xf>
    <xf numFmtId="191" fontId="5" fillId="0" borderId="45" xfId="28" applyNumberFormat="1" applyFont="1" applyFill="1" applyBorder="1" applyAlignment="1">
      <alignment horizontal="center" vertical="center" wrapText="1"/>
    </xf>
    <xf numFmtId="191" fontId="5" fillId="0" borderId="51" xfId="28" applyNumberFormat="1" applyFont="1" applyFill="1" applyBorder="1" applyAlignment="1">
      <alignment horizontal="center" vertical="center" wrapText="1"/>
    </xf>
    <xf numFmtId="191" fontId="5" fillId="0" borderId="49" xfId="28" applyNumberFormat="1" applyFont="1" applyFill="1" applyBorder="1" applyAlignment="1">
      <alignment horizontal="center" vertical="center" wrapText="1"/>
    </xf>
    <xf numFmtId="191" fontId="5" fillId="0" borderId="37" xfId="28" applyNumberFormat="1" applyFont="1" applyFill="1" applyBorder="1" applyAlignment="1">
      <alignment horizontal="center" vertical="center" wrapText="1"/>
    </xf>
    <xf numFmtId="191" fontId="5" fillId="0" borderId="43" xfId="28" applyNumberFormat="1" applyFont="1" applyFill="1" applyBorder="1" applyAlignment="1">
      <alignment horizontal="center" vertical="center" wrapText="1"/>
    </xf>
    <xf numFmtId="0" fontId="31" fillId="0" borderId="52" xfId="0" applyFont="1" applyBorder="1" applyAlignment="1">
      <alignment horizontal="left"/>
    </xf>
    <xf numFmtId="0" fontId="31" fillId="0" borderId="53" xfId="0" applyFont="1" applyBorder="1" applyAlignment="1">
      <alignment horizontal="left"/>
    </xf>
    <xf numFmtId="0" fontId="31" fillId="0" borderId="54" xfId="0" applyFont="1" applyBorder="1" applyAlignment="1">
      <alignment horizontal="left"/>
    </xf>
    <xf numFmtId="191" fontId="6" fillId="0" borderId="52" xfId="28" applyNumberFormat="1" applyFont="1" applyFill="1" applyBorder="1" applyAlignment="1">
      <alignment horizontal="center"/>
    </xf>
    <xf numFmtId="191" fontId="6" fillId="0" borderId="53" xfId="28" applyNumberFormat="1" applyFont="1" applyFill="1" applyBorder="1" applyAlignment="1">
      <alignment horizontal="center"/>
    </xf>
    <xf numFmtId="191" fontId="6" fillId="0" borderId="54" xfId="28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4" xfId="28" applyFont="1" applyFill="1" applyBorder="1" applyAlignment="1">
      <alignment horizontal="center"/>
    </xf>
    <xf numFmtId="43" fontId="6" fillId="0" borderId="15" xfId="28" applyFont="1" applyFill="1" applyBorder="1" applyAlignment="1">
      <alignment horizontal="center"/>
    </xf>
    <xf numFmtId="43" fontId="6" fillId="0" borderId="16" xfId="28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43" fontId="6" fillId="0" borderId="55" xfId="28" applyFont="1" applyFill="1" applyBorder="1" applyAlignment="1">
      <alignment horizontal="center"/>
    </xf>
    <xf numFmtId="43" fontId="6" fillId="0" borderId="44" xfId="28" applyFont="1" applyFill="1" applyBorder="1" applyAlignment="1">
      <alignment horizontal="center"/>
    </xf>
    <xf numFmtId="43" fontId="6" fillId="0" borderId="42" xfId="28" applyFont="1" applyFill="1" applyBorder="1" applyAlignment="1">
      <alignment horizontal="center"/>
    </xf>
    <xf numFmtId="43" fontId="5" fillId="0" borderId="33" xfId="28" applyFont="1" applyFill="1" applyBorder="1" applyAlignment="1">
      <alignment horizontal="center"/>
    </xf>
    <xf numFmtId="43" fontId="5" fillId="0" borderId="34" xfId="28" applyFont="1" applyFill="1" applyBorder="1" applyAlignment="1">
      <alignment horizontal="center"/>
    </xf>
    <xf numFmtId="43" fontId="5" fillId="0" borderId="35" xfId="28" applyFont="1" applyFill="1" applyBorder="1" applyAlignment="1">
      <alignment horizontal="center"/>
    </xf>
  </cellXfs>
  <cellStyles count="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29" xr:uid="{00000000-0005-0000-0000-00001C000000}"/>
    <cellStyle name="Comma 3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Hyperlink" xfId="50" builtinId="8"/>
    <cellStyle name="Hyperlink 2" xfId="37" xr:uid="{00000000-0005-0000-0000-000025000000}"/>
    <cellStyle name="Input" xfId="38" xr:uid="{00000000-0005-0000-0000-000026000000}"/>
    <cellStyle name="Linked Cell" xfId="39" xr:uid="{00000000-0005-0000-0000-000027000000}"/>
    <cellStyle name="Neutral" xfId="40" xr:uid="{00000000-0005-0000-0000-000028000000}"/>
    <cellStyle name="Normal 2" xfId="41" xr:uid="{00000000-0005-0000-0000-00002A000000}"/>
    <cellStyle name="Note" xfId="42" xr:uid="{00000000-0005-0000-0000-00002B000000}"/>
    <cellStyle name="Output" xfId="43" xr:uid="{00000000-0005-0000-0000-00002C000000}"/>
    <cellStyle name="Percent 2" xfId="44" xr:uid="{00000000-0005-0000-0000-00002D000000}"/>
    <cellStyle name="Title" xfId="45" xr:uid="{00000000-0005-0000-0000-00002E000000}"/>
    <cellStyle name="Total" xfId="46" xr:uid="{00000000-0005-0000-0000-00002F000000}"/>
    <cellStyle name="Warning Text" xfId="47" xr:uid="{00000000-0005-0000-0000-000030000000}"/>
    <cellStyle name="เครื่องหมายจุลภาค 2 2" xfId="48" xr:uid="{00000000-0005-0000-0000-000031000000}"/>
    <cellStyle name="จุลภาค" xfId="28" builtinId="3"/>
    <cellStyle name="ปกติ" xfId="0" builtinId="0"/>
    <cellStyle name="ปกติ 2" xfId="49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802217</xdr:colOff>
      <xdr:row>8</xdr:row>
      <xdr:rowOff>257175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8406CC-748D-371F-35AA-E501B661ACAA}"/>
            </a:ext>
          </a:extLst>
        </xdr:cNvPr>
        <xdr:cNvSpPr txBox="1"/>
      </xdr:nvSpPr>
      <xdr:spPr>
        <a:xfrm>
          <a:off x="9448800" y="34745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123032</xdr:colOff>
      <xdr:row>68</xdr:row>
      <xdr:rowOff>153989</xdr:rowOff>
    </xdr:from>
    <xdr:to>
      <xdr:col>12</xdr:col>
      <xdr:colOff>99219</xdr:colOff>
      <xdr:row>73</xdr:row>
      <xdr:rowOff>144199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7B7A580-195C-459D-B868-86307162926F}"/>
            </a:ext>
          </a:extLst>
        </xdr:cNvPr>
        <xdr:cNvSpPr/>
      </xdr:nvSpPr>
      <xdr:spPr>
        <a:xfrm>
          <a:off x="123032" y="20308889"/>
          <a:ext cx="9901237" cy="12665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4572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          ...................................................</a:t>
          </a:r>
          <a:r>
            <a:rPr lang="en-US" sz="1800" kern="12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                                 ..................................................                       ..................................................</a:t>
          </a:r>
          <a:endParaRPr lang="en-US" sz="1500" kern="100">
            <a:solidFill>
              <a:schemeClr val="tx1"/>
            </a:solidFill>
            <a:latin typeface="TH SarabunPSK" panose="020B0500040200020003" pitchFamily="34" charset="-34"/>
            <a:ea typeface="Calibri" panose="020F0502020204030204" pitchFamily="34" charset="0"/>
            <a:cs typeface="TH SarabunPSK" panose="020B0500040200020003" pitchFamily="34" charset="-34"/>
          </a:endParaRPr>
        </a:p>
        <a:p>
          <a:pPr algn="l"/>
          <a:r>
            <a:rPr lang="en-US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            (</a:t>
          </a:r>
          <a:r>
            <a:rPr lang="th-TH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นางสาวอุษา กัลลประวิทย์) </a:t>
          </a:r>
          <a:r>
            <a:rPr lang="en-US" sz="1500" kern="12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</a:t>
          </a:r>
          <a:r>
            <a:rPr lang="en-US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(</a:t>
          </a:r>
          <a:r>
            <a:rPr lang="th-TH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นางสาวสะเราะ นิยมเดชา)                              </a:t>
          </a:r>
          <a:r>
            <a:rPr lang="en-US" sz="1500" kern="100" baseline="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            </a:t>
          </a:r>
          <a:r>
            <a:rPr lang="th-TH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(นางสาววราลี คงเจริญ)</a:t>
          </a:r>
        </a:p>
        <a:p>
          <a:pPr algn="l"/>
          <a:r>
            <a:rPr lang="en-US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       </a:t>
          </a:r>
          <a:r>
            <a:rPr lang="th-TH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ประธานกรรมการกำหนดราคากลาง    </a:t>
          </a:r>
          <a:r>
            <a:rPr lang="en-US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                                         </a:t>
          </a:r>
          <a:r>
            <a:rPr lang="th-TH" sz="1500" kern="12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กรรมการกำหนดราคากลาง   </a:t>
          </a:r>
          <a:r>
            <a:rPr lang="en-US" sz="1500" kern="1200">
              <a:solidFill>
                <a:schemeClr val="tx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</a:t>
          </a:r>
          <a:r>
            <a:rPr lang="th-TH" sz="1500" kern="100">
              <a:solidFill>
                <a:schemeClr val="tx1"/>
              </a:solidFill>
              <a:latin typeface="TH SarabunPSK" panose="020B0500040200020003" pitchFamily="34" charset="-34"/>
              <a:ea typeface="Calibri" panose="020F0502020204030204" pitchFamily="34" charset="0"/>
              <a:cs typeface="TH SarabunPSK" panose="020B0500040200020003" pitchFamily="34" charset="-34"/>
            </a:rPr>
            <a:t>กรรมการและเลขานุการกำหนดราคากลาง                                           </a:t>
          </a:r>
          <a:endParaRPr lang="en-US" sz="1500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" Type="http://schemas.openxmlformats.org/officeDocument/2006/relationships/hyperlink" Target="file:///C:\Users\Administrator\Downloads\&#3651;&#3610;&#3648;&#3626;&#3609;&#3629;&#3619;&#3634;&#3588;&#3634;_Welldone.pdf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file:///C:\Users\Administrator\&#3626;&#3614;&#3600;%20&#3619;&#3634;&#3588;&#3634;&#3585;&#3621;&#3634;&#3591;&#3623;&#3633;&#3626;&#3604;&#3640;&#3585;&#3656;&#3629;&#3626;&#3619;&#3657;&#3634;&#3591;-2566.pdf" TargetMode="External"/><Relationship Id="rId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" Type="http://schemas.openxmlformats.org/officeDocument/2006/relationships/hyperlink" Target="file:///C:\Users\Administrator\Downloads\&#3651;&#3610;&#3648;&#3626;&#3609;&#3629;&#3619;&#3634;&#3588;&#3634;_Welldone.pdf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file:///C:\Users\Administrator\&#3626;&#3614;&#3600;%20&#3619;&#3634;&#3588;&#3634;&#3585;&#3621;&#3634;&#3591;&#3623;&#3633;&#3626;&#3604;&#3640;&#3585;&#3656;&#3629;&#3626;&#3619;&#3657;&#3634;&#3591;-2566.pdf" TargetMode="External"/><Relationship Id="rId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file:///C:\Users\Administrator\Downloads\&#3651;&#3610;&#3648;&#3626;&#3609;&#3629;&#3619;&#3634;&#3588;&#3634;_Welldone.pdf" TargetMode="External"/><Relationship Id="rId18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26" Type="http://schemas.openxmlformats.org/officeDocument/2006/relationships/hyperlink" Target="file:///C:\Users\Administrator\Downloads\&#3594;&#3640;&#3604;&#3604;&#3641;&#3604;&#3592;&#3656;&#3634;&#3618;&#3626;&#3634;&#3619;&#3621;&#3632;&#3621;&#3634;&#3618;%201%20&#3594;&#3656;&#3629;&#3591;.pdf" TargetMode="External"/><Relationship Id="rId39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1" Type="http://schemas.openxmlformats.org/officeDocument/2006/relationships/hyperlink" Target="file:///C:\Users\Administrator\Downloads\&#3594;&#3640;&#3604;&#3606;&#3656;&#3634;&#3618;&#3616;&#3634;&#3614;&#3648;&#3595;&#3621;&#3621;&#3660;.pdf" TargetMode="External"/><Relationship Id="rId34" Type="http://schemas.openxmlformats.org/officeDocument/2006/relationships/hyperlink" Target="file:///C:\Users\Administrator\Downloads\QS202304025.pdf" TargetMode="External"/><Relationship Id="rId42" Type="http://schemas.openxmlformats.org/officeDocument/2006/relationships/printerSettings" Target="../printerSettings/printerSettings12.bin"/><Relationship Id="rId7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6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20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29" Type="http://schemas.openxmlformats.org/officeDocument/2006/relationships/hyperlink" Target="file:///C:\Users\Administrator\Downloads\&#3648;&#3588;&#3619;&#3639;&#3656;&#3629;&#3591;&#3611;&#3633;&#3656;&#3609;&#3648;&#3627;&#3623;&#3637;&#3656;&#3618;&#3591;2.pdf" TargetMode="External"/><Relationship Id="rId41" Type="http://schemas.openxmlformats.org/officeDocument/2006/relationships/hyperlink" Target="file:///C:\Users\Administrator\Downloads\QS202304025.pdf" TargetMode="External"/><Relationship Id="rId1" Type="http://schemas.openxmlformats.org/officeDocument/2006/relationships/hyperlink" Target="file:///C:\Users\Administrator\Downloads\&#3651;&#3610;&#3648;&#3626;&#3609;&#3629;&#3619;&#3634;&#3588;&#3634;_Welldone.pdf" TargetMode="External"/><Relationship Id="rId6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1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4" Type="http://schemas.openxmlformats.org/officeDocument/2006/relationships/hyperlink" Target="file:///C:\Users\Administrator\Downloads\&#3648;&#3588;&#3619;&#3639;&#3656;&#3629;&#3591;&#3609;&#3633;&#3610;&#3648;&#3595;&#3621;&#3621;&#3660;%202.pdf" TargetMode="External"/><Relationship Id="rId32" Type="http://schemas.openxmlformats.org/officeDocument/2006/relationships/hyperlink" Target="file:///C:\Users\Administrator\Downloads\QS202304025.pdf" TargetMode="External"/><Relationship Id="rId37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40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5" Type="http://schemas.openxmlformats.org/officeDocument/2006/relationships/hyperlink" Target="file:///C:\Users\Administrator\Downloads\&#3651;&#3610;&#3648;&#3626;&#3609;&#3629;&#3619;&#3634;&#3588;&#3634;_Welldone.pdf" TargetMode="External"/><Relationship Id="rId15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3" Type="http://schemas.openxmlformats.org/officeDocument/2006/relationships/hyperlink" Target="file:///C:\Users\Administrator\Downloads\&#3648;&#3588;&#3619;&#3639;&#3656;&#3629;&#3591;&#3609;&#3633;&#3610;&#3648;&#3595;&#3621;&#3621;&#3660;%201.pdf" TargetMode="External"/><Relationship Id="rId28" Type="http://schemas.openxmlformats.org/officeDocument/2006/relationships/hyperlink" Target="file:///C:\Users\Administrator\Downloads\&#3648;&#3588;&#3619;&#3639;&#3656;&#3629;&#3591;&#3611;&#3633;&#3656;&#3609;&#3648;&#3627;&#3623;&#3637;&#3656;&#3618;&#3591;.pdf" TargetMode="External"/><Relationship Id="rId36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10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9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31" Type="http://schemas.openxmlformats.org/officeDocument/2006/relationships/hyperlink" Target="file:///C:\Users\Administrator\Downloads\QS202304025.pdf" TargetMode="External"/><Relationship Id="rId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9" Type="http://schemas.openxmlformats.org/officeDocument/2006/relationships/hyperlink" Target="file:///C:\Users\Administrator\Downloads\&#3651;&#3610;&#3648;&#3626;&#3609;&#3629;&#3619;&#3634;&#3588;&#3634;_Welldone.pdf" TargetMode="External"/><Relationship Id="rId14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22" Type="http://schemas.openxmlformats.org/officeDocument/2006/relationships/hyperlink" Target="file:///C:\Users\Administrator\Downloads\&#3594;&#3640;&#3604;&#3606;&#3656;&#3634;&#3618;&#3616;&#3634;&#3614;&#3648;&#3595;&#3621;&#3621;&#3660;2.pdf" TargetMode="External"/><Relationship Id="rId27" Type="http://schemas.openxmlformats.org/officeDocument/2006/relationships/hyperlink" Target="file:///C:\Users\Administrator\Downloads\&#3648;&#3588;&#3619;&#3639;&#3656;&#3629;&#3591;&#3604;&#3641;&#3604;&#3592;&#3656;&#3634;&#3618;&#3626;&#3634;&#3619;&#3621;&#3632;&#3621;&#3634;&#3618;&#3649;&#3610;&#3610;&#3617;&#3639;&#3629;&#3606;&#3639;&#3629;.pdf" TargetMode="External"/><Relationship Id="rId30" Type="http://schemas.openxmlformats.org/officeDocument/2006/relationships/hyperlink" Target="file:///C:\Users\Administrator\Downloads\QS202304025.pdf" TargetMode="External"/><Relationship Id="rId35" Type="http://schemas.openxmlformats.org/officeDocument/2006/relationships/hyperlink" Target="file:///C:\Users\Administrator\Downloads\QS202304025.pdf" TargetMode="External"/><Relationship Id="rId8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3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12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17" Type="http://schemas.openxmlformats.org/officeDocument/2006/relationships/hyperlink" Target="file:///C:\Users\Administrator\Downloads\&#3651;&#3610;&#3648;&#3626;&#3609;&#3629;&#3619;&#3634;&#3588;&#3634;_Welldone.pdf" TargetMode="External"/><Relationship Id="rId25" Type="http://schemas.openxmlformats.org/officeDocument/2006/relationships/hyperlink" Target="file:///C:\Users\Administrator\Downloads\&#3594;&#3640;&#3604;&#3604;&#3641;&#3604;&#3592;&#3656;&#3634;&#3618;&#3626;&#3634;&#3619;&#3621;&#3632;&#3621;&#3634;&#3618;%208%20&#3594;&#3656;&#3629;&#3591;.pdf" TargetMode="External"/><Relationship Id="rId33" Type="http://schemas.openxmlformats.org/officeDocument/2006/relationships/hyperlink" Target="file:///C:\Users\Administrator\Downloads\QS202304025.pdf" TargetMode="External"/><Relationship Id="rId38" Type="http://schemas.openxmlformats.org/officeDocument/2006/relationships/hyperlink" Target="file:///C:\Users\Administrator\Downloads\SSL0191-1%20&#3588;&#3640;&#3603;&#3623;&#3619;&#3634;&#3621;&#3637;%20&#3611;&#3619;&#3617;&#3634;&#3603;&#3641;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Administrator\Downloads\&#3651;&#3610;&#3648;&#3626;&#3609;&#3629;&#3619;&#3634;&#3588;&#3634;_Welldone.pdf" TargetMode="External"/><Relationship Id="rId21" Type="http://schemas.openxmlformats.org/officeDocument/2006/relationships/hyperlink" Target="file:///C:\Users\Administrator\Downloads\&#3626;&#3634;&#3619;&#3648;&#3588;&#3617;&#3637;1.pdf" TargetMode="External"/><Relationship Id="rId34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42" Type="http://schemas.openxmlformats.org/officeDocument/2006/relationships/hyperlink" Target="file:///C:\Users\Administrator\Downloads\&#3648;&#3588;&#3619;&#3639;&#3656;&#3629;&#3591;&#3611;&#3633;&#3656;&#3609;&#3648;&#3627;&#3623;&#3637;&#3656;&#3618;&#3591;2.pdf" TargetMode="External"/><Relationship Id="rId47" Type="http://schemas.openxmlformats.org/officeDocument/2006/relationships/hyperlink" Target="file:///C:\Users\Administrator\Downloads\&#3648;&#3588;&#3619;&#3639;&#3656;&#3629;&#3591;&#3611;&#3633;&#3656;&#3609;&#3648;&#3627;&#3623;&#3637;&#3656;&#3618;&#3591;.pdf" TargetMode="External"/><Relationship Id="rId50" Type="http://schemas.openxmlformats.org/officeDocument/2006/relationships/hyperlink" Target="file:///C:\Users\Administrator\Downloads\QS202304025.pdf" TargetMode="External"/><Relationship Id="rId55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63" Type="http://schemas.openxmlformats.org/officeDocument/2006/relationships/hyperlink" Target="file:///C:\Users\Administrator\Downloads\Faithful%20FSF75HD.pdf" TargetMode="External"/><Relationship Id="rId7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6" Type="http://schemas.openxmlformats.org/officeDocument/2006/relationships/hyperlink" Target="file:///C:\Users\Administrator\Downloads\Cytotoxicity%20assay_1.pdf" TargetMode="External"/><Relationship Id="rId29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1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32" Type="http://schemas.openxmlformats.org/officeDocument/2006/relationships/hyperlink" Target="file:///C:\Users\Administrator\Downloads\&#3594;&#3640;&#3604;&#3604;&#3641;&#3604;&#3592;&#3656;&#3634;&#3618;&#3626;&#3634;&#3619;&#3621;&#3632;&#3621;&#3634;&#3618;%208%20&#3594;&#3656;&#3629;&#3591;.pdf" TargetMode="External"/><Relationship Id="rId37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40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45" Type="http://schemas.openxmlformats.org/officeDocument/2006/relationships/hyperlink" Target="file:///C:\Users\Administrator\Downloads\&#3594;&#3640;&#3604;&#3604;&#3641;&#3604;&#3592;&#3656;&#3634;&#3618;&#3626;&#3634;&#3619;&#3621;&#3632;&#3621;&#3634;&#3618;%201%20&#3594;&#3656;&#3629;&#3591;.pdf" TargetMode="External"/><Relationship Id="rId53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58" Type="http://schemas.openxmlformats.org/officeDocument/2006/relationships/hyperlink" Target="file:///C:\Users\Administrator\&#3626;&#3635;&#3609;&#3633;&#3585;&#3591;&#3610;&#3611;&#3619;&#3632;&#3617;&#3634;&#3603;%20&#3619;&#3634;&#3588;&#3634;&#3617;&#3634;&#3605;&#3619;&#3600;&#3634;&#3609;&#3588;&#3619;&#3640;&#3616;&#3633;&#3603;&#3601;&#3660;%202566.pdf" TargetMode="External"/><Relationship Id="rId5" Type="http://schemas.openxmlformats.org/officeDocument/2006/relationships/hyperlink" Target="file:///C:\Users\Administrator\Downloads\&#3651;&#3610;&#3648;&#3626;&#3609;&#3629;&#3619;&#3634;&#3588;&#3634;_Welldone.pdf" TargetMode="External"/><Relationship Id="rId61" Type="http://schemas.openxmlformats.org/officeDocument/2006/relationships/hyperlink" Target="file:///C:\Users\Administrator\Downloads\Autoclave%20&#3627;&#3617;&#3657;&#3629;&#3609;&#3638;&#3656;&#3591;&#3590;&#3656;&#3634;&#3648;&#3594;&#3639;&#3657;&#3629;%20&#3594;&#3609;&#3636;&#3604;&#3629;&#3633;&#3605;&#3650;&#3609;&#3617;&#3633;&#3605;&#3636;%20Digital.pdf" TargetMode="External"/><Relationship Id="rId19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14" Type="http://schemas.openxmlformats.org/officeDocument/2006/relationships/hyperlink" Target="file:///C:\Users\Administrator\Downloads\QS202304025.pdf" TargetMode="External"/><Relationship Id="rId22" Type="http://schemas.openxmlformats.org/officeDocument/2006/relationships/hyperlink" Target="file:///C:\Users\Administrator\Downloads\&#3626;&#3634;&#3619;&#3648;&#3588;&#3617;&#3637;2.pdf" TargetMode="External"/><Relationship Id="rId27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30" Type="http://schemas.openxmlformats.org/officeDocument/2006/relationships/hyperlink" Target="file:///C:\Users\Administrator\Downloads\&#3651;&#3610;&#3648;&#3626;&#3609;&#3629;&#3619;&#3634;&#3588;&#3634;_Welldone.pdf" TargetMode="External"/><Relationship Id="rId35" Type="http://schemas.openxmlformats.org/officeDocument/2006/relationships/hyperlink" Target="file:///C:\Users\Administrator\Downloads\&#3594;&#3640;&#3604;&#3604;&#3641;&#3604;&#3592;&#3656;&#3634;&#3618;&#3626;&#3634;&#3619;&#3621;&#3632;&#3621;&#3634;&#3618;%201%20&#3594;&#3656;&#3629;&#3591;.pdf" TargetMode="External"/><Relationship Id="rId43" Type="http://schemas.openxmlformats.org/officeDocument/2006/relationships/hyperlink" Target="file:///C:\Users\Administrator\Downloads\QS202304025.pdf" TargetMode="External"/><Relationship Id="rId48" Type="http://schemas.openxmlformats.org/officeDocument/2006/relationships/hyperlink" Target="file:///C:\Users\Administrator\Downloads\&#3648;&#3588;&#3619;&#3639;&#3656;&#3629;&#3591;&#3611;&#3633;&#3656;&#3609;&#3648;&#3627;&#3623;&#3637;&#3656;&#3618;&#3591;2.pdf" TargetMode="External"/><Relationship Id="rId56" Type="http://schemas.openxmlformats.org/officeDocument/2006/relationships/hyperlink" Target="file:///C:\Users\Administrator\Downloads\&#3648;&#3588;&#3619;&#3639;&#3656;&#3629;&#3591;&#3621;&#3657;&#3634;&#3591;&#3588;&#3623;&#3634;&#3617;&#3606;&#3637;&#3656;&#3626;&#3641;&#3591;%20Ultrasonic%20Cleaner%20&#3619;&#3640;&#3656;&#3609;%20GT%20SONIC-D13%20_%20GT%20SONIC.pdf" TargetMode="External"/><Relationship Id="rId64" Type="http://schemas.openxmlformats.org/officeDocument/2006/relationships/printerSettings" Target="../printerSettings/printerSettings6.bin"/><Relationship Id="rId8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51" Type="http://schemas.openxmlformats.org/officeDocument/2006/relationships/hyperlink" Target="file:///C:\Users\Administrator\Downloads\QS202304025.pdf" TargetMode="External"/><Relationship Id="rId3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12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17" Type="http://schemas.openxmlformats.org/officeDocument/2006/relationships/hyperlink" Target="file:///C:\Users\Administrator\Downloads\Cytotoxicity%20assay_2.pdf" TargetMode="External"/><Relationship Id="rId25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33" Type="http://schemas.openxmlformats.org/officeDocument/2006/relationships/hyperlink" Target="file:///C:\Users\Administrator\Downloads\QS202304025.pdf" TargetMode="External"/><Relationship Id="rId38" Type="http://schemas.openxmlformats.org/officeDocument/2006/relationships/hyperlink" Target="file:///C:\Users\Administrator\Downloads\&#3648;&#3588;&#3619;&#3639;&#3656;&#3629;&#3591;&#3604;&#3641;&#3604;&#3592;&#3656;&#3634;&#3618;&#3626;&#3634;&#3619;&#3621;&#3632;&#3621;&#3634;&#3618;&#3649;&#3610;&#3610;&#3617;&#3639;&#3629;&#3606;&#3639;&#3629;.pdf" TargetMode="External"/><Relationship Id="rId46" Type="http://schemas.openxmlformats.org/officeDocument/2006/relationships/hyperlink" Target="file:///C:\Users\Administrator\Downloads\&#3648;&#3588;&#3619;&#3639;&#3656;&#3629;&#3591;&#3604;&#3641;&#3604;&#3592;&#3656;&#3634;&#3618;&#3626;&#3634;&#3619;&#3621;&#3632;&#3621;&#3634;&#3618;&#3649;&#3610;&#3610;&#3617;&#3639;&#3629;&#3606;&#3639;&#3629;.pdf" TargetMode="External"/><Relationship Id="rId59" Type="http://schemas.openxmlformats.org/officeDocument/2006/relationships/hyperlink" Target="file:///C:\Users\Administrator\Downloads\hotplate3.pdf" TargetMode="External"/><Relationship Id="rId20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41" Type="http://schemas.openxmlformats.org/officeDocument/2006/relationships/hyperlink" Target="file:///C:\Users\Administrator\Downloads\&#3648;&#3588;&#3619;&#3639;&#3656;&#3629;&#3591;&#3611;&#3633;&#3656;&#3609;&#3648;&#3627;&#3623;&#3637;&#3656;&#3618;&#3591;.pdf" TargetMode="External"/><Relationship Id="rId54" Type="http://schemas.openxmlformats.org/officeDocument/2006/relationships/hyperlink" Target="file:///C:\Users\Administrator\Downloads\SSL0191-1%20&#3588;&#3640;&#3603;&#3623;&#3619;&#3634;&#3621;&#3637;%20&#3611;&#3619;&#3617;&#3634;&#3603;&#3641;.pdf" TargetMode="External"/><Relationship Id="rId62" Type="http://schemas.openxmlformats.org/officeDocument/2006/relationships/hyperlink" Target="file:///C:\Users\Administrator\(%20Autoclave%20)%20&#3619;&#3640;&#3656;&#3609;%20BKQ-B75E%20&#3618;&#3637;&#3656;&#3627;&#3657;&#3629;%20BIOBASE.pdf" TargetMode="External"/><Relationship Id="rId1" Type="http://schemas.openxmlformats.org/officeDocument/2006/relationships/hyperlink" Target="file:///C:\Users\Administrator\Downloads\&#3651;&#3610;&#3648;&#3626;&#3609;&#3629;&#3619;&#3634;&#3588;&#3634;_Welldone.pdf" TargetMode="External"/><Relationship Id="rId6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5" Type="http://schemas.openxmlformats.org/officeDocument/2006/relationships/hyperlink" Target="file:///C:\Users\Administrator\Downloads\QS202304025.pdf" TargetMode="External"/><Relationship Id="rId23" Type="http://schemas.openxmlformats.org/officeDocument/2006/relationships/hyperlink" Target="file:///C:\Users\Administrator\Downloads\&#3626;&#3634;&#3619;&#3648;&#3588;&#3617;&#3637;3.pdf" TargetMode="External"/><Relationship Id="rId28" Type="http://schemas.openxmlformats.org/officeDocument/2006/relationships/hyperlink" Target="file:///C:\Users\Administrator\Downloads\&#3651;&#3610;&#3648;&#3626;&#3609;&#3629;&#3619;&#3634;&#3588;&#3634;_Welldone.pdf" TargetMode="External"/><Relationship Id="rId36" Type="http://schemas.openxmlformats.org/officeDocument/2006/relationships/hyperlink" Target="file:///C:\Users\Administrator\Downloads\QS202304025.pdf" TargetMode="External"/><Relationship Id="rId49" Type="http://schemas.openxmlformats.org/officeDocument/2006/relationships/hyperlink" Target="file:///C:\Users\Administrator\Downloads\QS202304025.pdf" TargetMode="External"/><Relationship Id="rId57" Type="http://schemas.openxmlformats.org/officeDocument/2006/relationships/hyperlink" Target="file:///C:\Users\Administrator\Downloads\GT%20SONIC-D13%20_%20GT%20Sonic%20&#3648;&#3588;&#3619;&#3639;&#3656;&#3629;&#3591;&#3621;&#3657;&#3634;&#3591;&#3588;&#3623;&#3634;&#3617;&#3606;&#3637;&#3656;&#3626;&#3641;&#3591;%20ULTRASONIC%20CLEANER%20&#3586;&#3609;&#3634;&#3604;.pdf" TargetMode="External"/><Relationship Id="rId10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31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44" Type="http://schemas.openxmlformats.org/officeDocument/2006/relationships/hyperlink" Target="file:///C:\Users\Administrator\Downloads\&#3594;&#3640;&#3604;&#3604;&#3641;&#3604;&#3592;&#3656;&#3634;&#3618;&#3626;&#3634;&#3619;&#3621;&#3632;&#3621;&#3634;&#3618;%208%20&#3594;&#3656;&#3629;&#3591;.pdf" TargetMode="External"/><Relationship Id="rId52" Type="http://schemas.openxmlformats.org/officeDocument/2006/relationships/hyperlink" Target="file:///C:\Users\Administrator\Downloads\QS202304025.pdf" TargetMode="External"/><Relationship Id="rId60" Type="http://schemas.openxmlformats.org/officeDocument/2006/relationships/hyperlink" Target="file:///C:\Users\Administrator\Downloads\hotplate4.pdf" TargetMode="External"/><Relationship Id="rId65" Type="http://schemas.openxmlformats.org/officeDocument/2006/relationships/drawing" Target="../drawings/drawing2.xml"/><Relationship Id="rId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Relationship Id="rId9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13" Type="http://schemas.openxmlformats.org/officeDocument/2006/relationships/hyperlink" Target="file:///C:\Users\Administrator\Downloads\QS202304025.pdf" TargetMode="External"/><Relationship Id="rId18" Type="http://schemas.openxmlformats.org/officeDocument/2006/relationships/hyperlink" Target="file:///C:\Users\Administrator\Downloads\Cytotoxicity%20assay_3.pdf" TargetMode="External"/><Relationship Id="rId39" Type="http://schemas.openxmlformats.org/officeDocument/2006/relationships/hyperlink" Target="file:///C:\Users\Administrator\Downloads\QS202304025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" Type="http://schemas.openxmlformats.org/officeDocument/2006/relationships/hyperlink" Target="file:///C:\Users\Administrator\Downloads\&#3651;&#3610;&#3648;&#3626;&#3609;&#3629;&#3619;&#3634;&#3588;&#3634;_Welldone.pdf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file:///C:\Users\Administrator\&#3626;&#3614;&#3600;%20&#3619;&#3634;&#3588;&#3634;&#3585;&#3621;&#3634;&#3591;&#3623;&#3633;&#3626;&#3604;&#3640;&#3585;&#3656;&#3629;&#3626;&#3619;&#3657;&#3634;&#3591;-2566.pdf" TargetMode="External"/><Relationship Id="rId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" Type="http://schemas.openxmlformats.org/officeDocument/2006/relationships/hyperlink" Target="file:///C:\Users\Administrator\Downloads\&#3651;&#3610;&#3648;&#3626;&#3609;&#3629;&#3619;&#3634;&#3588;&#3634;_Welldone.pdf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file:///C:\Users\Administrator\&#3626;&#3614;&#3600;%20&#3619;&#3634;&#3588;&#3634;&#3585;&#3621;&#3634;&#3591;&#3623;&#3633;&#3626;&#3604;&#3640;&#3585;&#3656;&#3629;&#3626;&#3619;&#3657;&#3634;&#3591;-2566.pdf" TargetMode="External"/><Relationship Id="rId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Administrator\Downloads\&#3651;&#3610;&#3648;&#3626;&#3609;&#3629;&#3619;&#3634;&#3588;&#3634;&#3610;.&#3604;&#3637;&#3652;&#3595;&#3609;&#3660;&#3631;-2.pdf" TargetMode="External"/><Relationship Id="rId2" Type="http://schemas.openxmlformats.org/officeDocument/2006/relationships/hyperlink" Target="file:///C:\Users\Administrator\Downloads\&#3651;&#3610;&#3648;&#3626;&#3609;&#3629;&#3619;&#3634;&#3588;&#3634;%20&#3629;&#3636;&#3609;&#3650;&#3609;&#3648;&#3623;&#3594;&#3633;&#3609;.pdf" TargetMode="External"/><Relationship Id="rId1" Type="http://schemas.openxmlformats.org/officeDocument/2006/relationships/hyperlink" Target="file:///C:\Users\Administrator\Downloads\&#3651;&#3610;&#3648;&#3626;&#3609;&#3629;&#3619;&#3634;&#3588;&#3634;_Welldone.pdf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file:///C:\Users\Administrator\&#3626;&#3614;&#3600;%20&#3619;&#3634;&#3588;&#3634;&#3585;&#3621;&#3634;&#3591;&#3623;&#3633;&#3626;&#3604;&#3640;&#3585;&#3656;&#3629;&#3626;&#3619;&#3657;&#3634;&#3591;-2566.pdf" TargetMode="External"/><Relationship Id="rId4" Type="http://schemas.openxmlformats.org/officeDocument/2006/relationships/hyperlink" Target="file:///C:\Users\Administrator\Downloads\ENS-024%20&#3626;&#3635;&#3609;&#3633;&#3585;&#3591;&#3634;&#3609;&#3611;&#3619;&#3617;&#3634;&#3603;&#3641;&#3648;&#3614;&#3639;&#3656;&#3629;&#3626;&#3633;&#3609;&#3605;&#3636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view="pageBreakPreview" topLeftCell="A48" zoomScale="120" zoomScaleNormal="100" zoomScaleSheetLayoutView="120" workbookViewId="0">
      <selection activeCell="B10" sqref="B10:F10"/>
    </sheetView>
  </sheetViews>
  <sheetFormatPr defaultRowHeight="12.75"/>
  <cols>
    <col min="1" max="1" width="9.7109375" customWidth="1"/>
    <col min="2" max="2" width="8" customWidth="1"/>
    <col min="4" max="4" width="12.140625" customWidth="1"/>
    <col min="5" max="5" width="14.5703125" customWidth="1"/>
    <col min="6" max="6" width="12.85546875" customWidth="1"/>
    <col min="7" max="7" width="2.5703125" customWidth="1"/>
    <col min="8" max="8" width="5.7109375" customWidth="1"/>
    <col min="9" max="9" width="15.7109375" customWidth="1"/>
    <col min="10" max="10" width="9.28515625" customWidth="1"/>
    <col min="13" max="13" width="14.42578125" customWidth="1"/>
  </cols>
  <sheetData>
    <row r="1" spans="1:10" ht="41.25" customHeight="1">
      <c r="A1" s="616" t="s">
        <v>40</v>
      </c>
      <c r="B1" s="616"/>
      <c r="C1" s="616"/>
      <c r="D1" s="616"/>
      <c r="E1" s="616"/>
      <c r="F1" s="616"/>
      <c r="G1" s="616"/>
      <c r="H1" s="616"/>
      <c r="I1" s="616"/>
      <c r="J1" s="473" t="s">
        <v>38</v>
      </c>
    </row>
    <row r="2" spans="1:10" ht="26.25" customHeight="1">
      <c r="A2" s="617" t="s">
        <v>28</v>
      </c>
      <c r="B2" s="617"/>
      <c r="C2" s="618" t="s">
        <v>288</v>
      </c>
      <c r="D2" s="618"/>
      <c r="E2" s="618"/>
      <c r="F2" s="618"/>
      <c r="G2" s="618"/>
      <c r="H2" s="618"/>
      <c r="I2" s="618"/>
      <c r="J2" s="618"/>
    </row>
    <row r="3" spans="1:10" ht="26.25" customHeight="1">
      <c r="A3" s="606" t="s">
        <v>0</v>
      </c>
      <c r="B3" s="606"/>
      <c r="C3" s="607" t="str">
        <f>+'ปร.4 ปรับปรุง (Waste)'!D3</f>
        <v>สำนักงานปรมาณูเพื่อสันติ  กรุงเทพฯ</v>
      </c>
      <c r="D3" s="607"/>
      <c r="E3" s="607"/>
      <c r="F3" s="619"/>
      <c r="G3" s="619"/>
      <c r="H3" s="607"/>
      <c r="I3" s="607"/>
      <c r="J3" s="607"/>
    </row>
    <row r="4" spans="1:10" ht="26.25" customHeight="1">
      <c r="A4" s="606" t="s">
        <v>1</v>
      </c>
      <c r="B4" s="606"/>
      <c r="C4" s="607"/>
      <c r="D4" s="607"/>
      <c r="E4" s="607"/>
      <c r="F4" s="533"/>
      <c r="G4" s="533"/>
      <c r="H4" s="533"/>
      <c r="I4" s="533"/>
      <c r="J4" s="533"/>
    </row>
    <row r="5" spans="1:10" ht="27.75" customHeight="1">
      <c r="A5" s="607" t="s">
        <v>44</v>
      </c>
      <c r="B5" s="607"/>
      <c r="C5" s="607"/>
      <c r="D5" s="607"/>
      <c r="E5" s="548"/>
      <c r="F5" s="607" t="s">
        <v>11</v>
      </c>
      <c r="G5" s="607"/>
      <c r="H5" s="608"/>
      <c r="I5" s="608"/>
      <c r="J5" s="549" t="s">
        <v>12</v>
      </c>
    </row>
    <row r="6" spans="1:10" ht="28.5" customHeight="1">
      <c r="A6" s="550" t="s">
        <v>290</v>
      </c>
      <c r="B6" s="551"/>
      <c r="C6" s="551"/>
      <c r="D6" s="539"/>
      <c r="E6" s="539"/>
      <c r="F6" s="539"/>
      <c r="G6" s="539"/>
      <c r="H6" s="539"/>
      <c r="I6" s="609"/>
      <c r="J6" s="609"/>
    </row>
    <row r="7" spans="1:10" ht="22.5" hidden="1" customHeight="1" thickBot="1">
      <c r="A7" s="603"/>
      <c r="B7" s="603"/>
      <c r="C7" s="603"/>
      <c r="D7" s="603"/>
      <c r="E7" s="603"/>
      <c r="F7" s="603"/>
      <c r="G7" s="603"/>
      <c r="H7" s="603"/>
      <c r="I7" s="603"/>
      <c r="J7" s="603"/>
    </row>
    <row r="8" spans="1:10" ht="22.5" customHeight="1">
      <c r="A8" s="604" t="s">
        <v>3</v>
      </c>
      <c r="B8" s="610" t="s">
        <v>4</v>
      </c>
      <c r="C8" s="610"/>
      <c r="D8" s="610"/>
      <c r="E8" s="610"/>
      <c r="F8" s="610"/>
      <c r="G8" s="612" t="s">
        <v>19</v>
      </c>
      <c r="H8" s="612"/>
      <c r="I8" s="612"/>
      <c r="J8" s="613" t="s">
        <v>5</v>
      </c>
    </row>
    <row r="9" spans="1:10" ht="22.5" customHeight="1">
      <c r="A9" s="605"/>
      <c r="B9" s="611"/>
      <c r="C9" s="611"/>
      <c r="D9" s="611"/>
      <c r="E9" s="611"/>
      <c r="F9" s="611"/>
      <c r="G9" s="615" t="s">
        <v>20</v>
      </c>
      <c r="H9" s="615"/>
      <c r="I9" s="615"/>
      <c r="J9" s="614"/>
    </row>
    <row r="10" spans="1:10" ht="27" customHeight="1">
      <c r="A10" s="387"/>
      <c r="B10" s="623" t="s">
        <v>6</v>
      </c>
      <c r="C10" s="624"/>
      <c r="D10" s="624"/>
      <c r="E10" s="624"/>
      <c r="F10" s="625"/>
      <c r="G10" s="626"/>
      <c r="H10" s="627"/>
      <c r="I10" s="628"/>
      <c r="J10" s="387"/>
    </row>
    <row r="11" spans="1:10" ht="22.5" customHeight="1">
      <c r="A11" s="338">
        <f>A10+1</f>
        <v>1</v>
      </c>
      <c r="B11" s="339" t="s">
        <v>191</v>
      </c>
      <c r="C11" s="337"/>
      <c r="D11" s="337"/>
      <c r="E11" s="337"/>
      <c r="F11" s="340"/>
      <c r="G11" s="629">
        <f>'ปร.5ก งานปรับปรุง'!K31</f>
        <v>0</v>
      </c>
      <c r="H11" s="630"/>
      <c r="I11" s="631"/>
      <c r="J11" s="341"/>
    </row>
    <row r="12" spans="1:10" ht="22.5" customHeight="1">
      <c r="A12" s="338">
        <v>2</v>
      </c>
      <c r="B12" s="339" t="s">
        <v>190</v>
      </c>
      <c r="C12" s="337"/>
      <c r="D12" s="337"/>
      <c r="E12" s="337"/>
      <c r="F12" s="340"/>
      <c r="G12" s="620">
        <f>'ปร.5ข ครุภัณฑ์และจัดซื้อ '!K19</f>
        <v>0</v>
      </c>
      <c r="H12" s="621"/>
      <c r="I12" s="622"/>
      <c r="J12" s="341"/>
    </row>
    <row r="13" spans="1:10" ht="22.5" customHeight="1">
      <c r="A13" s="338"/>
      <c r="B13" s="339"/>
      <c r="C13" s="337"/>
      <c r="D13" s="337"/>
      <c r="E13" s="337"/>
      <c r="F13" s="340"/>
      <c r="G13" s="620"/>
      <c r="H13" s="621"/>
      <c r="I13" s="622"/>
      <c r="J13" s="341"/>
    </row>
    <row r="14" spans="1:10" ht="22.5" hidden="1" customHeight="1">
      <c r="A14" s="338"/>
      <c r="B14" s="339"/>
      <c r="C14" s="337"/>
      <c r="D14" s="337"/>
      <c r="E14" s="337"/>
      <c r="F14" s="340"/>
      <c r="G14" s="620"/>
      <c r="H14" s="621"/>
      <c r="I14" s="622"/>
      <c r="J14" s="341"/>
    </row>
    <row r="15" spans="1:10" ht="22.5" hidden="1" customHeight="1">
      <c r="A15" s="338"/>
      <c r="B15" s="339"/>
      <c r="C15" s="337"/>
      <c r="D15" s="337"/>
      <c r="E15" s="337"/>
      <c r="F15" s="340"/>
      <c r="G15" s="620"/>
      <c r="H15" s="621"/>
      <c r="I15" s="622"/>
      <c r="J15" s="341"/>
    </row>
    <row r="16" spans="1:10" ht="22.5" hidden="1" customHeight="1">
      <c r="A16" s="338"/>
      <c r="B16" s="339"/>
      <c r="C16" s="337"/>
      <c r="D16" s="337"/>
      <c r="E16" s="337"/>
      <c r="F16" s="340"/>
      <c r="G16" s="620"/>
      <c r="H16" s="621"/>
      <c r="I16" s="622"/>
      <c r="J16" s="341"/>
    </row>
    <row r="17" spans="1:13" ht="22.5" hidden="1" customHeight="1">
      <c r="A17" s="338"/>
      <c r="B17" s="339"/>
      <c r="C17" s="337"/>
      <c r="D17" s="337"/>
      <c r="E17" s="337"/>
      <c r="F17" s="340"/>
      <c r="G17" s="620"/>
      <c r="H17" s="621"/>
      <c r="I17" s="622"/>
      <c r="J17" s="341"/>
    </row>
    <row r="18" spans="1:13" ht="22.5" hidden="1" customHeight="1">
      <c r="A18" s="338"/>
      <c r="B18" s="339"/>
      <c r="C18" s="337"/>
      <c r="D18" s="337"/>
      <c r="E18" s="337"/>
      <c r="F18" s="340"/>
      <c r="G18" s="620"/>
      <c r="H18" s="621"/>
      <c r="I18" s="622"/>
      <c r="J18" s="341"/>
    </row>
    <row r="19" spans="1:13" ht="22.5" customHeight="1">
      <c r="A19" s="342"/>
      <c r="B19" s="343"/>
      <c r="C19" s="336"/>
      <c r="D19" s="336"/>
      <c r="E19" s="336"/>
      <c r="F19" s="344"/>
      <c r="G19" s="620"/>
      <c r="H19" s="621"/>
      <c r="I19" s="622"/>
      <c r="J19" s="345"/>
    </row>
    <row r="20" spans="1:13" ht="22.5" hidden="1" customHeight="1">
      <c r="A20" s="342"/>
      <c r="B20" s="339"/>
      <c r="C20" s="336"/>
      <c r="D20" s="336"/>
      <c r="E20" s="336"/>
      <c r="F20" s="344"/>
      <c r="G20" s="620"/>
      <c r="H20" s="621"/>
      <c r="I20" s="622"/>
      <c r="J20" s="345"/>
    </row>
    <row r="21" spans="1:13" ht="22.5" hidden="1" customHeight="1">
      <c r="A21" s="342"/>
      <c r="B21" s="339"/>
      <c r="C21" s="336"/>
      <c r="D21" s="336"/>
      <c r="E21" s="336"/>
      <c r="F21" s="344"/>
      <c r="G21" s="620"/>
      <c r="H21" s="621"/>
      <c r="I21" s="622"/>
      <c r="J21" s="345"/>
    </row>
    <row r="22" spans="1:13" ht="22.5" hidden="1" customHeight="1">
      <c r="A22" s="342"/>
      <c r="B22" s="343"/>
      <c r="C22" s="336"/>
      <c r="D22" s="336"/>
      <c r="E22" s="336"/>
      <c r="F22" s="344"/>
      <c r="G22" s="620"/>
      <c r="H22" s="621"/>
      <c r="I22" s="622"/>
      <c r="J22" s="345"/>
    </row>
    <row r="23" spans="1:13" ht="22.5" hidden="1" customHeight="1">
      <c r="A23" s="342"/>
      <c r="B23" s="343"/>
      <c r="C23" s="336"/>
      <c r="D23" s="336"/>
      <c r="E23" s="336"/>
      <c r="F23" s="344"/>
      <c r="G23" s="620"/>
      <c r="H23" s="621"/>
      <c r="I23" s="622"/>
      <c r="J23" s="345"/>
    </row>
    <row r="24" spans="1:13" ht="22.5" hidden="1" customHeight="1">
      <c r="A24" s="342"/>
      <c r="B24" s="343"/>
      <c r="C24" s="336"/>
      <c r="D24" s="336"/>
      <c r="E24" s="336"/>
      <c r="F24" s="344"/>
      <c r="G24" s="620"/>
      <c r="H24" s="621"/>
      <c r="I24" s="622"/>
      <c r="J24" s="345"/>
    </row>
    <row r="25" spans="1:13" ht="22.5" hidden="1" customHeight="1">
      <c r="A25" s="342"/>
      <c r="B25" s="343"/>
      <c r="C25" s="336"/>
      <c r="D25" s="336"/>
      <c r="E25" s="336"/>
      <c r="F25" s="344"/>
      <c r="G25" s="620"/>
      <c r="H25" s="621"/>
      <c r="I25" s="622"/>
      <c r="J25" s="345"/>
    </row>
    <row r="26" spans="1:13" ht="22.5" customHeight="1">
      <c r="A26" s="342"/>
      <c r="B26" s="343"/>
      <c r="C26" s="336"/>
      <c r="D26" s="336"/>
      <c r="E26" s="336"/>
      <c r="F26" s="344"/>
      <c r="G26" s="620"/>
      <c r="H26" s="621"/>
      <c r="I26" s="622"/>
      <c r="J26" s="345"/>
    </row>
    <row r="27" spans="1:13" ht="22.5" customHeight="1">
      <c r="A27" s="342"/>
      <c r="B27" s="343"/>
      <c r="C27" s="336"/>
      <c r="D27" s="336"/>
      <c r="E27" s="336"/>
      <c r="F27" s="344"/>
      <c r="G27" s="346"/>
      <c r="H27" s="347"/>
      <c r="I27" s="348"/>
      <c r="J27" s="345"/>
    </row>
    <row r="28" spans="1:13" ht="22.5" customHeight="1">
      <c r="A28" s="342"/>
      <c r="B28" s="343"/>
      <c r="C28" s="336"/>
      <c r="D28" s="336"/>
      <c r="E28" s="336"/>
      <c r="F28" s="344"/>
      <c r="G28" s="346"/>
      <c r="H28" s="347"/>
      <c r="I28" s="348"/>
      <c r="J28" s="345"/>
    </row>
    <row r="29" spans="1:13" ht="22.5" customHeight="1">
      <c r="A29" s="342"/>
      <c r="B29" s="349"/>
      <c r="C29" s="350"/>
      <c r="D29" s="350"/>
      <c r="E29" s="350"/>
      <c r="F29" s="351"/>
      <c r="G29" s="632"/>
      <c r="H29" s="633"/>
      <c r="I29" s="634"/>
      <c r="J29" s="345"/>
    </row>
    <row r="30" spans="1:13" ht="22.5" customHeight="1">
      <c r="A30" s="635" t="s">
        <v>6</v>
      </c>
      <c r="B30" s="637" t="s">
        <v>8</v>
      </c>
      <c r="C30" s="637"/>
      <c r="D30" s="637"/>
      <c r="E30" s="637"/>
      <c r="F30" s="637"/>
      <c r="G30" s="638">
        <f>SUM(G11:I29)</f>
        <v>0</v>
      </c>
      <c r="H30" s="638"/>
      <c r="I30" s="638"/>
      <c r="J30" s="389"/>
    </row>
    <row r="31" spans="1:13" ht="22.5" customHeight="1">
      <c r="A31" s="636"/>
      <c r="B31" s="639" t="str">
        <f>"("&amp;BAHTTEXT(G30)&amp;")"</f>
        <v>(ศูนย์บาทถ้วน)</v>
      </c>
      <c r="C31" s="639"/>
      <c r="D31" s="639"/>
      <c r="E31" s="639"/>
      <c r="F31" s="639"/>
      <c r="G31" s="639"/>
      <c r="H31" s="639"/>
      <c r="I31" s="639"/>
      <c r="J31" s="388"/>
    </row>
    <row r="32" spans="1:13" ht="22.5" hidden="1" customHeight="1" thickTop="1">
      <c r="A32" s="325"/>
      <c r="B32" s="640"/>
      <c r="C32" s="640"/>
      <c r="D32" s="641"/>
      <c r="E32" s="641"/>
      <c r="F32" s="334"/>
      <c r="G32" s="327"/>
      <c r="H32" s="327"/>
      <c r="I32" s="327"/>
      <c r="J32" s="352"/>
      <c r="L32" s="110"/>
      <c r="M32" s="111"/>
    </row>
    <row r="33" spans="1:15" ht="24" hidden="1" customHeight="1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L33" s="110"/>
      <c r="M33" s="111"/>
    </row>
    <row r="34" spans="1:15" ht="30" hidden="1" customHeight="1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L34" s="110"/>
      <c r="M34" s="111"/>
    </row>
    <row r="35" spans="1:15" ht="25.5" hidden="1" customHeight="1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L35" s="110"/>
      <c r="M35" s="111"/>
    </row>
    <row r="36" spans="1:15" ht="29.25" customHeight="1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L36" s="110"/>
      <c r="M36" s="111"/>
    </row>
    <row r="37" spans="1:15" ht="22.5" customHeight="1">
      <c r="A37" s="641"/>
      <c r="B37" s="641"/>
      <c r="C37" s="641"/>
      <c r="D37" s="641"/>
      <c r="E37" s="641"/>
      <c r="F37" s="641"/>
      <c r="G37" s="641"/>
      <c r="H37" s="641"/>
      <c r="I37" s="641"/>
      <c r="J37" s="641"/>
      <c r="L37" s="110"/>
      <c r="M37" s="111"/>
    </row>
    <row r="38" spans="1:15" ht="22.5" customHeight="1">
      <c r="A38" s="641"/>
      <c r="B38" s="641"/>
      <c r="C38" s="641"/>
      <c r="D38" s="641"/>
      <c r="E38" s="641"/>
      <c r="F38" s="641"/>
      <c r="G38" s="641"/>
      <c r="H38" s="641"/>
      <c r="I38" s="641"/>
      <c r="J38" s="641"/>
    </row>
    <row r="39" spans="1:15" ht="22.5" customHeight="1">
      <c r="A39" s="641"/>
      <c r="B39" s="641"/>
      <c r="C39" s="641"/>
      <c r="D39" s="641"/>
      <c r="E39" s="641"/>
      <c r="F39" s="641"/>
      <c r="G39" s="641"/>
      <c r="H39" s="641"/>
      <c r="I39" s="641"/>
      <c r="J39" s="641"/>
      <c r="L39" s="102"/>
      <c r="M39" s="102"/>
      <c r="N39" s="102"/>
      <c r="O39" s="102"/>
    </row>
    <row r="40" spans="1:15" ht="22.5" customHeight="1">
      <c r="A40" s="642"/>
      <c r="B40" s="642"/>
      <c r="C40" s="642"/>
      <c r="D40" s="642"/>
      <c r="E40" s="642"/>
      <c r="F40" s="642"/>
      <c r="G40" s="642"/>
      <c r="H40" s="642"/>
      <c r="I40" s="642"/>
      <c r="J40" s="642"/>
      <c r="L40" s="102"/>
    </row>
    <row r="41" spans="1:15" ht="22.5" customHeight="1">
      <c r="A41" s="642"/>
      <c r="B41" s="642"/>
      <c r="C41" s="642"/>
      <c r="D41" s="642"/>
      <c r="E41" s="642"/>
      <c r="F41" s="642"/>
      <c r="G41" s="642"/>
      <c r="H41" s="642"/>
      <c r="I41" s="642"/>
      <c r="J41" s="642"/>
    </row>
    <row r="42" spans="1:15" ht="22.5" customHeight="1">
      <c r="A42" s="642"/>
      <c r="B42" s="642"/>
      <c r="C42" s="642"/>
      <c r="D42" s="642"/>
      <c r="E42" s="642"/>
      <c r="F42" s="642"/>
      <c r="G42" s="642"/>
      <c r="H42" s="642"/>
      <c r="I42" s="642"/>
      <c r="J42" s="642"/>
    </row>
    <row r="43" spans="1:15" ht="22.5" customHeight="1">
      <c r="A43" s="645"/>
      <c r="B43" s="645"/>
      <c r="C43" s="645"/>
      <c r="D43" s="645"/>
      <c r="E43" s="645"/>
      <c r="F43" s="645"/>
      <c r="G43" s="645"/>
      <c r="H43" s="645"/>
      <c r="I43" s="645"/>
      <c r="J43" s="645"/>
    </row>
    <row r="44" spans="1:15" ht="22.5" customHeight="1">
      <c r="A44" s="1"/>
      <c r="B44" s="26"/>
      <c r="C44" s="26"/>
      <c r="D44" s="27"/>
      <c r="E44" s="27"/>
      <c r="F44" s="66"/>
      <c r="G44" s="117"/>
      <c r="H44" s="117"/>
      <c r="I44" s="117"/>
      <c r="J44" s="117"/>
    </row>
    <row r="45" spans="1:15" ht="22.5" customHeight="1">
      <c r="A45" s="1"/>
      <c r="B45" s="1"/>
      <c r="C45" s="1"/>
      <c r="D45" s="643"/>
      <c r="E45" s="643"/>
      <c r="F45" s="66"/>
      <c r="G45" s="117"/>
      <c r="H45" s="117"/>
      <c r="I45" s="117"/>
      <c r="J45" s="117"/>
    </row>
    <row r="46" spans="1:15" ht="22.5" customHeight="1">
      <c r="A46" s="1"/>
      <c r="B46" s="643"/>
      <c r="C46" s="643"/>
      <c r="D46" s="644"/>
      <c r="E46" s="644"/>
      <c r="F46" s="66"/>
      <c r="G46" s="117"/>
      <c r="H46" s="117"/>
      <c r="I46" s="117"/>
      <c r="J46" s="117"/>
    </row>
    <row r="47" spans="1:15" ht="18.75">
      <c r="A47" s="1"/>
      <c r="B47" s="1"/>
      <c r="C47" s="1"/>
      <c r="D47" s="1"/>
      <c r="E47" s="1"/>
      <c r="F47" s="1"/>
      <c r="G47" s="34"/>
      <c r="H47" s="34"/>
      <c r="I47" s="34"/>
      <c r="J47" s="1"/>
    </row>
  </sheetData>
  <mergeCells count="54">
    <mergeCell ref="A41:J41"/>
    <mergeCell ref="B46:C46"/>
    <mergeCell ref="D46:E46"/>
    <mergeCell ref="D45:E45"/>
    <mergeCell ref="A40:J40"/>
    <mergeCell ref="A42:J42"/>
    <mergeCell ref="A43:J43"/>
    <mergeCell ref="B32:C32"/>
    <mergeCell ref="D32:E32"/>
    <mergeCell ref="A37:J37"/>
    <mergeCell ref="A38:J38"/>
    <mergeCell ref="A39:J39"/>
    <mergeCell ref="G29:I29"/>
    <mergeCell ref="A30:A31"/>
    <mergeCell ref="B30:F30"/>
    <mergeCell ref="G30:I30"/>
    <mergeCell ref="B31:I31"/>
    <mergeCell ref="G16:I16"/>
    <mergeCell ref="G17:I17"/>
    <mergeCell ref="G18:I18"/>
    <mergeCell ref="G26:I26"/>
    <mergeCell ref="G19:I19"/>
    <mergeCell ref="G20:I20"/>
    <mergeCell ref="G24:I24"/>
    <mergeCell ref="G25:I25"/>
    <mergeCell ref="G23:I23"/>
    <mergeCell ref="G21:I21"/>
    <mergeCell ref="G22:I22"/>
    <mergeCell ref="G13:I13"/>
    <mergeCell ref="G14:I14"/>
    <mergeCell ref="G15:I15"/>
    <mergeCell ref="B10:F10"/>
    <mergeCell ref="G10:I10"/>
    <mergeCell ref="G11:I11"/>
    <mergeCell ref="G12:I12"/>
    <mergeCell ref="A1:I1"/>
    <mergeCell ref="A2:B2"/>
    <mergeCell ref="C2:J2"/>
    <mergeCell ref="A3:B3"/>
    <mergeCell ref="C3:E3"/>
    <mergeCell ref="F3:G3"/>
    <mergeCell ref="H3:J3"/>
    <mergeCell ref="A7:J7"/>
    <mergeCell ref="A8:A9"/>
    <mergeCell ref="A4:B4"/>
    <mergeCell ref="A5:D5"/>
    <mergeCell ref="F5:G5"/>
    <mergeCell ref="H5:I5"/>
    <mergeCell ref="I6:J6"/>
    <mergeCell ref="B8:F9"/>
    <mergeCell ref="G8:I8"/>
    <mergeCell ref="J8:J9"/>
    <mergeCell ref="G9:I9"/>
    <mergeCell ref="C4:E4"/>
  </mergeCells>
  <phoneticPr fontId="43" type="noConversion"/>
  <printOptions horizontalCentered="1"/>
  <pageMargins left="0.25" right="0.25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T28"/>
  <sheetViews>
    <sheetView zoomScale="80" zoomScaleNormal="80" workbookViewId="0">
      <selection activeCell="A7" sqref="A7:T19"/>
    </sheetView>
  </sheetViews>
  <sheetFormatPr defaultRowHeight="18"/>
  <cols>
    <col min="1" max="1" width="9.7109375" style="68" customWidth="1"/>
    <col min="2" max="2" width="9.140625" style="68" customWidth="1"/>
    <col min="3" max="3" width="9.7109375" style="68" customWidth="1"/>
    <col min="4" max="12" width="14.28515625" style="68" customWidth="1"/>
    <col min="13" max="13" width="14.28515625" customWidth="1"/>
    <col min="14" max="14" width="14.28515625" style="97" customWidth="1"/>
    <col min="15" max="15" width="14.28515625" style="102" customWidth="1"/>
    <col min="16" max="16" width="14.28515625" customWidth="1"/>
    <col min="17" max="17" width="14.28515625" style="102" customWidth="1"/>
    <col min="18" max="19" width="14.28515625" customWidth="1"/>
    <col min="20" max="20" width="11.5703125" customWidth="1"/>
  </cols>
  <sheetData>
    <row r="1" spans="1:20" s="1" customFormat="1" ht="22.5" customHeight="1">
      <c r="A1" s="782" t="s">
        <v>23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22"/>
      <c r="N1" s="93"/>
      <c r="O1" s="22"/>
      <c r="Q1" s="22"/>
    </row>
    <row r="2" spans="1:20" s="75" customFormat="1" ht="22.5" customHeight="1">
      <c r="A2" s="89" t="s">
        <v>33</v>
      </c>
      <c r="B2" s="89"/>
      <c r="C2" s="67"/>
      <c r="D2" s="67" t="s">
        <v>99</v>
      </c>
      <c r="E2" s="90"/>
      <c r="G2" s="91"/>
      <c r="H2" s="78"/>
      <c r="I2" s="67"/>
      <c r="J2" s="67"/>
      <c r="K2" s="67"/>
      <c r="L2" s="67"/>
      <c r="N2" s="94"/>
      <c r="O2" s="100"/>
      <c r="Q2" s="100"/>
    </row>
    <row r="3" spans="1:20" s="75" customFormat="1" ht="22.5" customHeight="1">
      <c r="A3" s="783" t="s">
        <v>0</v>
      </c>
      <c r="B3" s="783"/>
      <c r="C3" s="783"/>
      <c r="D3" s="75" t="s">
        <v>48</v>
      </c>
      <c r="I3" s="89"/>
      <c r="N3" s="95"/>
      <c r="O3" s="100"/>
      <c r="Q3" s="100"/>
    </row>
    <row r="4" spans="1:20" s="75" customFormat="1" ht="22.5" customHeight="1" thickBot="1">
      <c r="A4" s="784" t="s">
        <v>7</v>
      </c>
      <c r="B4" s="784"/>
      <c r="C4" s="784"/>
      <c r="D4" s="785" t="s">
        <v>138</v>
      </c>
      <c r="E4" s="785"/>
      <c r="F4" s="785"/>
      <c r="G4" s="785"/>
      <c r="H4" s="786"/>
      <c r="I4" s="786"/>
      <c r="J4" s="121"/>
      <c r="K4" s="121"/>
      <c r="L4" s="121"/>
      <c r="N4" s="796"/>
      <c r="O4" s="796"/>
      <c r="P4" s="796"/>
      <c r="Q4" s="796"/>
      <c r="R4" s="796"/>
      <c r="S4" s="796"/>
      <c r="T4" s="796"/>
    </row>
    <row r="5" spans="1:20" s="1" customFormat="1" ht="22.5" customHeight="1" thickTop="1">
      <c r="A5" s="766" t="s">
        <v>3</v>
      </c>
      <c r="B5" s="768" t="s">
        <v>4</v>
      </c>
      <c r="C5" s="769"/>
      <c r="D5" s="769"/>
      <c r="E5" s="772" t="s">
        <v>11</v>
      </c>
      <c r="F5" s="774" t="s">
        <v>13</v>
      </c>
      <c r="G5" s="776" t="s">
        <v>18</v>
      </c>
      <c r="H5" s="777"/>
      <c r="I5" s="776" t="s">
        <v>15</v>
      </c>
      <c r="J5" s="777"/>
      <c r="K5" s="778" t="s">
        <v>17</v>
      </c>
      <c r="L5" s="766" t="s">
        <v>5</v>
      </c>
      <c r="N5" s="145" t="s">
        <v>109</v>
      </c>
      <c r="O5" s="146" t="s">
        <v>110</v>
      </c>
      <c r="P5" s="755" t="s">
        <v>121</v>
      </c>
      <c r="Q5" s="755"/>
      <c r="R5" s="755"/>
      <c r="S5" s="146" t="s">
        <v>132</v>
      </c>
      <c r="T5" s="146" t="s">
        <v>149</v>
      </c>
    </row>
    <row r="6" spans="1:20" s="1" customFormat="1" ht="33" customHeight="1" thickBot="1">
      <c r="A6" s="767"/>
      <c r="B6" s="770"/>
      <c r="C6" s="771"/>
      <c r="D6" s="771"/>
      <c r="E6" s="773"/>
      <c r="F6" s="775"/>
      <c r="G6" s="4" t="s">
        <v>24</v>
      </c>
      <c r="H6" s="4" t="s">
        <v>16</v>
      </c>
      <c r="I6" s="4" t="s">
        <v>24</v>
      </c>
      <c r="J6" s="4" t="s">
        <v>16</v>
      </c>
      <c r="K6" s="779"/>
      <c r="L6" s="767"/>
      <c r="N6" s="146" t="s">
        <v>152</v>
      </c>
      <c r="O6" s="146" t="s">
        <v>152</v>
      </c>
      <c r="P6" s="165" t="s">
        <v>150</v>
      </c>
      <c r="Q6" s="165" t="s">
        <v>151</v>
      </c>
      <c r="R6" s="165" t="s">
        <v>152</v>
      </c>
      <c r="S6" s="146" t="s">
        <v>152</v>
      </c>
      <c r="T6" s="146" t="s">
        <v>152</v>
      </c>
    </row>
    <row r="7" spans="1:20" s="1" customFormat="1" ht="22.5" customHeight="1" thickTop="1">
      <c r="A7" s="84"/>
      <c r="B7" s="118" t="s">
        <v>105</v>
      </c>
      <c r="C7" s="119"/>
      <c r="D7" s="120"/>
      <c r="E7" s="36"/>
      <c r="F7" s="10"/>
      <c r="G7" s="11"/>
      <c r="H7" s="7"/>
      <c r="I7" s="8"/>
      <c r="J7" s="7"/>
      <c r="K7" s="9"/>
      <c r="L7" s="5"/>
      <c r="M7" s="87"/>
      <c r="N7" s="93"/>
      <c r="O7" s="261" t="s">
        <v>134</v>
      </c>
      <c r="Q7" s="99"/>
      <c r="R7" s="261" t="s">
        <v>135</v>
      </c>
      <c r="S7" s="261" t="s">
        <v>147</v>
      </c>
      <c r="T7" s="262" t="s">
        <v>148</v>
      </c>
    </row>
    <row r="8" spans="1:20" s="1" customFormat="1" ht="22.5" customHeight="1">
      <c r="A8" s="193">
        <v>1</v>
      </c>
      <c r="B8" s="787" t="s">
        <v>55</v>
      </c>
      <c r="C8" s="788" t="s">
        <v>55</v>
      </c>
      <c r="D8" s="789" t="s">
        <v>55</v>
      </c>
      <c r="E8" s="194">
        <v>1</v>
      </c>
      <c r="F8" s="195" t="s">
        <v>49</v>
      </c>
      <c r="G8" s="196">
        <f>AVERAGE(N8,S8:T8)</f>
        <v>32766.666666666668</v>
      </c>
      <c r="H8" s="197">
        <f>E8*G8</f>
        <v>32766.666666666668</v>
      </c>
      <c r="I8" s="198"/>
      <c r="J8" s="197"/>
      <c r="K8" s="199">
        <f>H8+J8</f>
        <v>32766.666666666668</v>
      </c>
      <c r="L8" s="195"/>
      <c r="M8" s="200"/>
      <c r="N8" s="258">
        <v>31000</v>
      </c>
      <c r="O8" s="201"/>
      <c r="P8" s="201"/>
      <c r="Q8" s="228"/>
      <c r="R8" s="228">
        <f>R9+R10+R11</f>
        <v>42200</v>
      </c>
      <c r="S8" s="221">
        <v>32500</v>
      </c>
      <c r="T8" s="228">
        <v>34800</v>
      </c>
    </row>
    <row r="9" spans="1:20" s="1" customFormat="1" ht="22.5" customHeight="1">
      <c r="A9" s="92"/>
      <c r="B9" s="15" t="s">
        <v>171</v>
      </c>
      <c r="C9" s="162"/>
      <c r="D9" s="164"/>
      <c r="E9" s="36"/>
      <c r="F9" s="10"/>
      <c r="G9" s="192"/>
      <c r="H9" s="7"/>
      <c r="I9" s="8"/>
      <c r="J9" s="7"/>
      <c r="K9" s="9"/>
      <c r="L9" s="5"/>
      <c r="M9" s="88"/>
      <c r="N9" s="125"/>
      <c r="O9" s="135"/>
      <c r="P9" s="135">
        <f>4670*2</f>
        <v>9340</v>
      </c>
      <c r="Q9" s="134">
        <f>770*2</f>
        <v>1540</v>
      </c>
      <c r="R9" s="134">
        <f>P9+Q9</f>
        <v>10880</v>
      </c>
      <c r="S9" s="181"/>
      <c r="T9" s="134"/>
    </row>
    <row r="10" spans="1:20" s="1" customFormat="1" ht="22.5" customHeight="1">
      <c r="A10" s="92"/>
      <c r="B10" s="23" t="s">
        <v>172</v>
      </c>
      <c r="C10" s="162"/>
      <c r="D10" s="164"/>
      <c r="E10" s="36"/>
      <c r="F10" s="10"/>
      <c r="G10" s="192"/>
      <c r="H10" s="7"/>
      <c r="I10" s="8"/>
      <c r="J10" s="7"/>
      <c r="K10" s="9"/>
      <c r="L10" s="5"/>
      <c r="M10" s="88"/>
      <c r="N10" s="125"/>
      <c r="O10" s="135"/>
      <c r="P10" s="135">
        <f>1490*6</f>
        <v>8940</v>
      </c>
      <c r="Q10" s="134">
        <f>250*6</f>
        <v>1500</v>
      </c>
      <c r="R10" s="134">
        <f t="shared" ref="R10:R11" si="0">P10+Q10</f>
        <v>10440</v>
      </c>
      <c r="S10" s="181"/>
      <c r="T10" s="134"/>
    </row>
    <row r="11" spans="1:20" s="1" customFormat="1" ht="22.5" customHeight="1">
      <c r="A11" s="92"/>
      <c r="B11" s="23" t="s">
        <v>173</v>
      </c>
      <c r="C11" s="162"/>
      <c r="D11" s="230"/>
      <c r="E11" s="36"/>
      <c r="F11" s="10"/>
      <c r="G11" s="192"/>
      <c r="H11" s="7"/>
      <c r="I11" s="8"/>
      <c r="J11" s="7"/>
      <c r="K11" s="9"/>
      <c r="L11" s="5"/>
      <c r="M11" s="88"/>
      <c r="N11" s="125"/>
      <c r="O11" s="135"/>
      <c r="P11" s="135">
        <f>1490*12</f>
        <v>17880</v>
      </c>
      <c r="Q11" s="134">
        <f>250*12</f>
        <v>3000</v>
      </c>
      <c r="R11" s="134">
        <f t="shared" si="0"/>
        <v>20880</v>
      </c>
      <c r="S11" s="181"/>
      <c r="T11" s="134"/>
    </row>
    <row r="12" spans="1:20" s="1" customFormat="1" ht="22.5" customHeight="1">
      <c r="A12" s="203">
        <v>2</v>
      </c>
      <c r="B12" s="188" t="s">
        <v>95</v>
      </c>
      <c r="C12" s="189"/>
      <c r="D12" s="190"/>
      <c r="E12" s="194">
        <v>1</v>
      </c>
      <c r="F12" s="195" t="s">
        <v>49</v>
      </c>
      <c r="G12" s="196">
        <f>AVERAGE(N12,S12:T12)</f>
        <v>39066.666666666664</v>
      </c>
      <c r="H12" s="197">
        <f>E12*G12</f>
        <v>39066.666666666664</v>
      </c>
      <c r="I12" s="204"/>
      <c r="J12" s="197"/>
      <c r="K12" s="199">
        <f>H12+J12</f>
        <v>39066.666666666664</v>
      </c>
      <c r="L12" s="205"/>
      <c r="M12" s="200"/>
      <c r="N12" s="258">
        <v>24000</v>
      </c>
      <c r="O12" s="214"/>
      <c r="P12" s="228">
        <v>26700</v>
      </c>
      <c r="Q12" s="228">
        <v>15400</v>
      </c>
      <c r="R12" s="228">
        <f>P12+Q12</f>
        <v>42100</v>
      </c>
      <c r="S12" s="221">
        <v>45000</v>
      </c>
      <c r="T12" s="228">
        <v>48200</v>
      </c>
    </row>
    <row r="13" spans="1:20" s="1" customFormat="1" ht="22.5" customHeight="1">
      <c r="A13" s="206">
        <v>3</v>
      </c>
      <c r="B13" s="787" t="s">
        <v>98</v>
      </c>
      <c r="C13" s="788"/>
      <c r="D13" s="789"/>
      <c r="E13" s="194">
        <v>1</v>
      </c>
      <c r="F13" s="195" t="s">
        <v>49</v>
      </c>
      <c r="G13" s="196">
        <f t="shared" ref="G13" si="1">AVERAGE(N13,S13:T13)</f>
        <v>33133.333333333336</v>
      </c>
      <c r="H13" s="197">
        <f t="shared" ref="H13:H17" si="2">E13*G13</f>
        <v>33133.333333333336</v>
      </c>
      <c r="I13" s="204"/>
      <c r="J13" s="197"/>
      <c r="K13" s="199">
        <f t="shared" ref="K13:K17" si="3">H13+J13</f>
        <v>33133.333333333336</v>
      </c>
      <c r="L13" s="205"/>
      <c r="M13" s="235"/>
      <c r="N13" s="258">
        <v>58000</v>
      </c>
      <c r="O13" s="214"/>
      <c r="P13" s="228"/>
      <c r="Q13" s="228"/>
      <c r="R13" s="228">
        <f>R14+R15+R16</f>
        <v>129540</v>
      </c>
      <c r="S13" s="221">
        <v>20000</v>
      </c>
      <c r="T13" s="228">
        <v>21400</v>
      </c>
    </row>
    <row r="14" spans="1:20" s="1" customFormat="1" ht="22.5" customHeight="1">
      <c r="A14" s="84"/>
      <c r="B14" s="15" t="s">
        <v>166</v>
      </c>
      <c r="C14" s="24"/>
      <c r="D14" s="25"/>
      <c r="E14" s="36"/>
      <c r="F14" s="10"/>
      <c r="G14" s="11"/>
      <c r="H14" s="7"/>
      <c r="I14" s="8"/>
      <c r="J14" s="7"/>
      <c r="K14" s="9"/>
      <c r="L14" s="5"/>
      <c r="M14" s="87"/>
      <c r="N14" s="125"/>
      <c r="O14" s="217"/>
      <c r="P14" s="134">
        <f>2670*2</f>
        <v>5340</v>
      </c>
      <c r="Q14" s="134">
        <f>4600*2</f>
        <v>9200</v>
      </c>
      <c r="R14" s="134">
        <f>P14+Q14</f>
        <v>14540</v>
      </c>
      <c r="S14" s="181"/>
      <c r="T14" s="134"/>
    </row>
    <row r="15" spans="1:20" s="1" customFormat="1" ht="22.5" customHeight="1">
      <c r="A15" s="84"/>
      <c r="B15" s="15" t="s">
        <v>167</v>
      </c>
      <c r="C15" s="24"/>
      <c r="D15" s="25"/>
      <c r="E15" s="36"/>
      <c r="F15" s="10"/>
      <c r="G15" s="11"/>
      <c r="H15" s="7"/>
      <c r="I15" s="8"/>
      <c r="J15" s="7"/>
      <c r="K15" s="9"/>
      <c r="L15" s="5"/>
      <c r="M15" s="87"/>
      <c r="N15" s="125"/>
      <c r="O15" s="217"/>
      <c r="P15" s="134">
        <v>26700</v>
      </c>
      <c r="Q15" s="134">
        <v>30800</v>
      </c>
      <c r="R15" s="134">
        <f t="shared" ref="R15:R16" si="4">P15+Q15</f>
        <v>57500</v>
      </c>
      <c r="S15" s="181"/>
      <c r="T15" s="134"/>
    </row>
    <row r="16" spans="1:20" s="1" customFormat="1" ht="22.15" customHeight="1">
      <c r="A16" s="84"/>
      <c r="B16" s="15" t="s">
        <v>145</v>
      </c>
      <c r="C16" s="24"/>
      <c r="D16" s="25"/>
      <c r="E16" s="36"/>
      <c r="F16" s="10"/>
      <c r="G16" s="11"/>
      <c r="H16" s="7"/>
      <c r="I16" s="8"/>
      <c r="J16" s="7"/>
      <c r="K16" s="9"/>
      <c r="L16" s="5"/>
      <c r="M16" s="87"/>
      <c r="N16" s="125"/>
      <c r="O16" s="217"/>
      <c r="P16" s="134">
        <v>26700</v>
      </c>
      <c r="Q16" s="134">
        <v>30800</v>
      </c>
      <c r="R16" s="134">
        <f t="shared" si="4"/>
        <v>57500</v>
      </c>
      <c r="S16" s="181"/>
      <c r="T16" s="134"/>
    </row>
    <row r="17" spans="1:20" s="1" customFormat="1" ht="22.5" customHeight="1">
      <c r="A17" s="206">
        <v>4</v>
      </c>
      <c r="B17" s="787" t="s">
        <v>176</v>
      </c>
      <c r="C17" s="788" t="s">
        <v>96</v>
      </c>
      <c r="D17" s="789" t="s">
        <v>96</v>
      </c>
      <c r="E17" s="194">
        <v>1</v>
      </c>
      <c r="F17" s="195" t="s">
        <v>49</v>
      </c>
      <c r="G17" s="196">
        <f>750*70.96</f>
        <v>53219.999999999993</v>
      </c>
      <c r="H17" s="197">
        <f t="shared" si="2"/>
        <v>53219.999999999993</v>
      </c>
      <c r="I17" s="207"/>
      <c r="J17" s="197"/>
      <c r="K17" s="199">
        <f t="shared" si="3"/>
        <v>53219.999999999993</v>
      </c>
      <c r="L17" s="208"/>
      <c r="M17" s="263" t="s">
        <v>180</v>
      </c>
      <c r="N17" s="258">
        <v>104000</v>
      </c>
      <c r="O17" s="214"/>
      <c r="P17" s="228">
        <f>930*70.96</f>
        <v>65992.799999999988</v>
      </c>
      <c r="Q17" s="228">
        <f>500*70.96</f>
        <v>35480</v>
      </c>
      <c r="R17" s="228">
        <f>P17+Q17</f>
        <v>101472.79999999999</v>
      </c>
      <c r="S17" s="221">
        <f>2000*70.96</f>
        <v>141920</v>
      </c>
      <c r="T17" s="228">
        <v>149100</v>
      </c>
    </row>
    <row r="18" spans="1:20" s="1" customFormat="1" ht="22.5" customHeight="1">
      <c r="A18" s="84">
        <v>5</v>
      </c>
      <c r="B18" s="114" t="s">
        <v>170</v>
      </c>
      <c r="C18" s="115"/>
      <c r="D18" s="116"/>
      <c r="E18" s="36"/>
      <c r="F18" s="10"/>
      <c r="G18" s="6"/>
      <c r="H18" s="7"/>
      <c r="I18" s="244"/>
      <c r="J18" s="7"/>
      <c r="K18" s="9"/>
      <c r="L18" s="245"/>
      <c r="M18" s="88"/>
      <c r="N18" s="125"/>
      <c r="O18" s="217"/>
      <c r="P18" s="134">
        <v>20000</v>
      </c>
      <c r="Q18" s="134">
        <v>7700</v>
      </c>
      <c r="R18" s="134">
        <f>P18+Q18</f>
        <v>27700</v>
      </c>
      <c r="S18" s="181"/>
      <c r="T18" s="134"/>
    </row>
    <row r="19" spans="1:20" s="1" customFormat="1" ht="22.5" customHeight="1">
      <c r="A19" s="84"/>
      <c r="B19" s="184" t="s">
        <v>139</v>
      </c>
      <c r="C19" s="185"/>
      <c r="D19" s="186"/>
      <c r="E19" s="36"/>
      <c r="F19" s="10"/>
      <c r="G19" s="6"/>
      <c r="H19" s="7"/>
      <c r="I19" s="244"/>
      <c r="J19" s="7"/>
      <c r="K19" s="9"/>
      <c r="L19" s="245"/>
      <c r="M19" s="88"/>
      <c r="N19" s="125"/>
      <c r="O19" s="217"/>
      <c r="P19" s="134"/>
      <c r="Q19" s="134"/>
      <c r="R19" s="134"/>
      <c r="S19" s="181"/>
      <c r="T19" s="134"/>
    </row>
    <row r="20" spans="1:20" s="1" customFormat="1" ht="22.5" customHeight="1">
      <c r="A20" s="84">
        <v>6</v>
      </c>
      <c r="B20" s="114" t="s">
        <v>141</v>
      </c>
      <c r="C20" s="115"/>
      <c r="D20" s="116"/>
      <c r="E20" s="36"/>
      <c r="F20" s="10"/>
      <c r="G20" s="6"/>
      <c r="H20" s="7"/>
      <c r="I20" s="8"/>
      <c r="J20" s="7"/>
      <c r="K20" s="9"/>
      <c r="L20" s="5"/>
      <c r="M20" s="88"/>
      <c r="N20" s="125"/>
      <c r="O20" s="217"/>
      <c r="P20" s="134"/>
      <c r="Q20" s="134"/>
      <c r="R20" s="134"/>
      <c r="S20" s="181"/>
      <c r="T20" s="134"/>
    </row>
    <row r="21" spans="1:20" s="1" customFormat="1" ht="18.75" customHeight="1">
      <c r="A21" s="84"/>
      <c r="B21" s="114" t="s">
        <v>142</v>
      </c>
      <c r="C21" s="185"/>
      <c r="D21" s="186"/>
      <c r="E21" s="36"/>
      <c r="F21" s="10"/>
      <c r="G21" s="11"/>
      <c r="H21" s="7"/>
      <c r="I21" s="8"/>
      <c r="J21" s="7"/>
      <c r="K21" s="9"/>
      <c r="L21" s="5"/>
      <c r="M21" s="88"/>
      <c r="N21" s="125"/>
      <c r="O21" s="217"/>
      <c r="P21" s="134">
        <v>25000</v>
      </c>
      <c r="Q21" s="134"/>
      <c r="R21" s="134">
        <f>P21+Q21</f>
        <v>25000</v>
      </c>
      <c r="S21" s="181"/>
      <c r="T21" s="134"/>
    </row>
    <row r="22" spans="1:20" s="1" customFormat="1" ht="18.75" customHeight="1">
      <c r="A22" s="84"/>
      <c r="B22" s="114" t="s">
        <v>143</v>
      </c>
      <c r="C22" s="115"/>
      <c r="D22" s="116"/>
      <c r="E22" s="36"/>
      <c r="F22" s="10"/>
      <c r="G22" s="11"/>
      <c r="H22" s="7"/>
      <c r="I22" s="16"/>
      <c r="J22" s="7"/>
      <c r="K22" s="9"/>
      <c r="L22" s="17"/>
      <c r="M22" s="88"/>
      <c r="N22" s="125"/>
      <c r="O22" s="217"/>
      <c r="P22" s="134">
        <v>19000</v>
      </c>
      <c r="Q22" s="134">
        <v>19000</v>
      </c>
      <c r="R22" s="134">
        <f t="shared" ref="R22:R23" si="5">P22+Q22</f>
        <v>38000</v>
      </c>
      <c r="S22" s="181"/>
      <c r="T22" s="134"/>
    </row>
    <row r="23" spans="1:20" s="1" customFormat="1" ht="18.75" customHeight="1">
      <c r="A23" s="84"/>
      <c r="B23" s="75" t="s">
        <v>144</v>
      </c>
      <c r="C23" s="115"/>
      <c r="D23" s="116"/>
      <c r="E23" s="36"/>
      <c r="F23" s="10"/>
      <c r="G23" s="6"/>
      <c r="H23" s="7"/>
      <c r="I23" s="8"/>
      <c r="J23" s="7"/>
      <c r="K23" s="9"/>
      <c r="L23" s="5"/>
      <c r="M23" s="88"/>
      <c r="N23" s="125"/>
      <c r="O23" s="217"/>
      <c r="P23" s="134"/>
      <c r="Q23" s="134">
        <v>55000</v>
      </c>
      <c r="R23" s="134">
        <f t="shared" si="5"/>
        <v>55000</v>
      </c>
      <c r="S23" s="181"/>
      <c r="T23" s="134"/>
    </row>
    <row r="24" spans="1:20" s="1" customFormat="1" ht="18.75" customHeight="1">
      <c r="A24" s="84"/>
      <c r="B24" s="23"/>
      <c r="C24" s="24"/>
      <c r="D24" s="25"/>
      <c r="E24" s="36"/>
      <c r="F24" s="10"/>
      <c r="G24" s="6"/>
      <c r="H24" s="7"/>
      <c r="I24" s="8"/>
      <c r="J24" s="7"/>
      <c r="K24" s="18"/>
      <c r="L24" s="231"/>
      <c r="M24" s="88"/>
      <c r="N24" s="125"/>
      <c r="O24" s="217"/>
      <c r="P24" s="126"/>
      <c r="Q24" s="217"/>
      <c r="R24" s="217"/>
      <c r="S24" s="181"/>
      <c r="T24" s="134"/>
    </row>
    <row r="25" spans="1:20" s="1" customFormat="1" ht="18.75" customHeight="1" thickBot="1">
      <c r="A25" s="86"/>
      <c r="B25" s="114"/>
      <c r="C25" s="115"/>
      <c r="D25" s="116"/>
      <c r="E25" s="36"/>
      <c r="F25" s="10"/>
      <c r="G25" s="11"/>
      <c r="H25" s="7"/>
      <c r="I25" s="19"/>
      <c r="J25" s="7"/>
      <c r="K25" s="18"/>
      <c r="L25" s="20"/>
      <c r="M25" s="88"/>
      <c r="N25" s="125"/>
      <c r="O25" s="217"/>
      <c r="P25" s="126"/>
      <c r="Q25" s="217"/>
      <c r="R25" s="217"/>
      <c r="S25" s="181"/>
      <c r="T25" s="134"/>
    </row>
    <row r="26" spans="1:20" s="2" customFormat="1" ht="22.5" customHeight="1" thickTop="1" thickBot="1">
      <c r="A26" s="752" t="s">
        <v>14</v>
      </c>
      <c r="B26" s="753"/>
      <c r="C26" s="753"/>
      <c r="D26" s="753"/>
      <c r="E26" s="753"/>
      <c r="F26" s="753"/>
      <c r="G26" s="754"/>
      <c r="H26" s="12">
        <f>SUM(H7:H25)</f>
        <v>158186.66666666666</v>
      </c>
      <c r="I26" s="12"/>
      <c r="J26" s="12">
        <f>SUM(J7:J25)</f>
        <v>0</v>
      </c>
      <c r="K26" s="12">
        <f>SUM(K7:K25)</f>
        <v>158186.66666666666</v>
      </c>
      <c r="L26" s="13"/>
      <c r="M26" s="103"/>
      <c r="N26" s="218">
        <f>N8+N13+N12+N17</f>
        <v>217000</v>
      </c>
      <c r="O26" s="218">
        <v>295000</v>
      </c>
      <c r="P26" s="218">
        <f>P8+P13+P12+P17</f>
        <v>92692.799999999988</v>
      </c>
      <c r="Q26" s="218">
        <f>Q8+Q13+Q12+Q17</f>
        <v>50880</v>
      </c>
      <c r="R26" s="218">
        <f>R8+R13+R12+R17+R18+R21+R22+R23</f>
        <v>461012.8</v>
      </c>
      <c r="S26" s="260">
        <f>S8+S13+S12+S17</f>
        <v>239420</v>
      </c>
      <c r="T26" s="225">
        <f>T8+T13+T12+T17</f>
        <v>253500</v>
      </c>
    </row>
    <row r="27" spans="1:20" s="1" customFormat="1" ht="22.5" customHeight="1" thickTop="1">
      <c r="A27" s="78"/>
      <c r="B27" s="78"/>
      <c r="C27" s="78"/>
      <c r="D27" s="78"/>
      <c r="E27" s="3"/>
      <c r="F27" s="3"/>
      <c r="G27" s="3"/>
      <c r="H27" s="35"/>
      <c r="I27" s="35"/>
      <c r="J27" s="35"/>
      <c r="K27" s="35"/>
      <c r="L27" s="3"/>
    </row>
    <row r="28" spans="1:20" s="1" customFormat="1" ht="22.5" customHeight="1">
      <c r="A28" s="78"/>
      <c r="B28" s="78"/>
      <c r="C28" s="78"/>
      <c r="D28" s="79"/>
      <c r="E28" s="79"/>
      <c r="F28" s="79"/>
      <c r="G28" s="79"/>
      <c r="H28" s="751"/>
      <c r="I28" s="751"/>
      <c r="J28" s="751"/>
      <c r="K28" s="751"/>
      <c r="L28" s="3"/>
      <c r="N28" s="93"/>
      <c r="O28" s="22"/>
      <c r="Q28" s="22"/>
    </row>
  </sheetData>
  <mergeCells count="20">
    <mergeCell ref="A26:G26"/>
    <mergeCell ref="H28:K28"/>
    <mergeCell ref="B13:D13"/>
    <mergeCell ref="B8:D8"/>
    <mergeCell ref="B17:D17"/>
    <mergeCell ref="A5:A6"/>
    <mergeCell ref="B5:D6"/>
    <mergeCell ref="E5:E6"/>
    <mergeCell ref="F5:F6"/>
    <mergeCell ref="G5:H5"/>
    <mergeCell ref="I5:J5"/>
    <mergeCell ref="K5:K6"/>
    <mergeCell ref="L5:L6"/>
    <mergeCell ref="N4:T4"/>
    <mergeCell ref="P5:R5"/>
    <mergeCell ref="A1:L1"/>
    <mergeCell ref="A3:C3"/>
    <mergeCell ref="A4:C4"/>
    <mergeCell ref="D4:G4"/>
    <mergeCell ref="H4:I4"/>
  </mergeCells>
  <hyperlinks>
    <hyperlink ref="O7" r:id="rId1" xr:uid="{00000000-0004-0000-0900-000000000000}"/>
    <hyperlink ref="R7" r:id="rId2" xr:uid="{00000000-0004-0000-0900-000001000000}"/>
    <hyperlink ref="S7" r:id="rId3" xr:uid="{00000000-0004-0000-0900-000002000000}"/>
    <hyperlink ref="T7" r:id="rId4" xr:uid="{00000000-0004-0000-0900-000003000000}"/>
    <hyperlink ref="M17" r:id="rId5" xr:uid="{00000000-0004-0000-0900-000004000000}"/>
  </hyperlinks>
  <pageMargins left="0.3" right="0" top="0.55118110236220497" bottom="0.15748031496063" header="0.196850393700787" footer="0.196850393700787"/>
  <pageSetup paperSize="9" scale="73" fitToWidth="0" orientation="landscape" horizontalDpi="300" verticalDpi="300" r:id="rId6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V19"/>
  <sheetViews>
    <sheetView zoomScale="70" zoomScaleNormal="70" workbookViewId="0">
      <selection activeCell="J31" sqref="J31"/>
    </sheetView>
  </sheetViews>
  <sheetFormatPr defaultRowHeight="18"/>
  <cols>
    <col min="1" max="1" width="9.7109375" style="68" customWidth="1"/>
    <col min="2" max="2" width="9.140625" style="68" customWidth="1"/>
    <col min="3" max="3" width="9.7109375" style="68" customWidth="1"/>
    <col min="4" max="4" width="37.7109375" style="68" customWidth="1"/>
    <col min="5" max="6" width="8.7109375" style="68" customWidth="1"/>
    <col min="7" max="7" width="14.7109375" style="68" customWidth="1"/>
    <col min="8" max="8" width="14.85546875" style="68" customWidth="1"/>
    <col min="9" max="9" width="17.7109375" style="68" customWidth="1"/>
    <col min="10" max="10" width="13.5703125" style="68" customWidth="1"/>
    <col min="11" max="11" width="10" style="68" customWidth="1"/>
    <col min="12" max="12" width="13.42578125" style="68" customWidth="1"/>
    <col min="13" max="13" width="12.5703125" customWidth="1"/>
    <col min="14" max="14" width="14.5703125" style="97" customWidth="1"/>
    <col min="15" max="15" width="11.42578125" style="102" customWidth="1"/>
    <col min="16" max="16" width="11.7109375" customWidth="1"/>
    <col min="17" max="17" width="10.85546875" style="102" customWidth="1"/>
    <col min="18" max="18" width="9.7109375" customWidth="1"/>
    <col min="19" max="19" width="12" customWidth="1"/>
    <col min="20" max="20" width="11.42578125" customWidth="1"/>
  </cols>
  <sheetData>
    <row r="1" spans="1:22" s="1" customFormat="1" ht="22.5" customHeight="1">
      <c r="A1" s="782" t="s">
        <v>23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22"/>
      <c r="N1" s="93"/>
      <c r="O1" s="22"/>
      <c r="Q1" s="22"/>
    </row>
    <row r="2" spans="1:22" s="75" customFormat="1" ht="22.5" customHeight="1">
      <c r="A2" s="89" t="s">
        <v>33</v>
      </c>
      <c r="B2" s="89"/>
      <c r="C2" s="67"/>
      <c r="D2" s="67" t="s">
        <v>99</v>
      </c>
      <c r="E2" s="90"/>
      <c r="G2" s="91"/>
      <c r="H2" s="78"/>
      <c r="I2" s="67"/>
      <c r="J2" s="67"/>
      <c r="K2" s="67"/>
      <c r="L2" s="67"/>
      <c r="N2" s="94"/>
      <c r="O2" s="100"/>
      <c r="Q2" s="100"/>
    </row>
    <row r="3" spans="1:22" s="75" customFormat="1" ht="22.5" customHeight="1">
      <c r="A3" s="783" t="s">
        <v>0</v>
      </c>
      <c r="B3" s="783"/>
      <c r="C3" s="783"/>
      <c r="D3" s="75" t="s">
        <v>48</v>
      </c>
      <c r="I3" s="89"/>
      <c r="N3" s="95"/>
      <c r="O3" s="100"/>
      <c r="Q3" s="100"/>
    </row>
    <row r="4" spans="1:22" s="75" customFormat="1" ht="22.5" customHeight="1" thickBot="1">
      <c r="A4" s="784" t="s">
        <v>7</v>
      </c>
      <c r="B4" s="784"/>
      <c r="C4" s="784"/>
      <c r="D4" s="785" t="s">
        <v>138</v>
      </c>
      <c r="E4" s="785"/>
      <c r="F4" s="785"/>
      <c r="G4" s="785"/>
      <c r="H4" s="786"/>
      <c r="I4" s="786"/>
      <c r="J4" s="121"/>
      <c r="K4" s="121"/>
      <c r="L4" s="121"/>
      <c r="N4" s="796"/>
      <c r="O4" s="796"/>
      <c r="P4" s="796"/>
      <c r="Q4" s="796"/>
      <c r="R4" s="796"/>
      <c r="S4" s="796"/>
      <c r="T4" s="796"/>
    </row>
    <row r="5" spans="1:22" s="1" customFormat="1" ht="22.5" customHeight="1" thickTop="1">
      <c r="A5" s="766" t="s">
        <v>3</v>
      </c>
      <c r="B5" s="768" t="s">
        <v>4</v>
      </c>
      <c r="C5" s="769"/>
      <c r="D5" s="769"/>
      <c r="E5" s="772" t="s">
        <v>11</v>
      </c>
      <c r="F5" s="774" t="s">
        <v>13</v>
      </c>
      <c r="G5" s="776" t="s">
        <v>18</v>
      </c>
      <c r="H5" s="777"/>
      <c r="I5" s="776" t="s">
        <v>15</v>
      </c>
      <c r="J5" s="777"/>
      <c r="K5" s="778" t="s">
        <v>17</v>
      </c>
      <c r="L5" s="766" t="s">
        <v>5</v>
      </c>
      <c r="N5" s="145" t="s">
        <v>109</v>
      </c>
      <c r="O5" s="146" t="s">
        <v>110</v>
      </c>
      <c r="P5" s="755" t="s">
        <v>121</v>
      </c>
      <c r="Q5" s="755"/>
      <c r="R5" s="755"/>
      <c r="S5" s="146" t="s">
        <v>132</v>
      </c>
      <c r="T5" s="146" t="s">
        <v>149</v>
      </c>
    </row>
    <row r="6" spans="1:22" s="1" customFormat="1" ht="33" customHeight="1" thickBot="1">
      <c r="A6" s="767"/>
      <c r="B6" s="770"/>
      <c r="C6" s="771"/>
      <c r="D6" s="771"/>
      <c r="E6" s="773"/>
      <c r="F6" s="775"/>
      <c r="G6" s="4" t="s">
        <v>24</v>
      </c>
      <c r="H6" s="4" t="s">
        <v>16</v>
      </c>
      <c r="I6" s="4" t="s">
        <v>24</v>
      </c>
      <c r="J6" s="4" t="s">
        <v>16</v>
      </c>
      <c r="K6" s="779"/>
      <c r="L6" s="767"/>
      <c r="N6" s="146" t="s">
        <v>152</v>
      </c>
      <c r="O6" s="146" t="s">
        <v>152</v>
      </c>
      <c r="P6" s="165" t="s">
        <v>150</v>
      </c>
      <c r="Q6" s="165" t="s">
        <v>151</v>
      </c>
      <c r="R6" s="165" t="s">
        <v>152</v>
      </c>
      <c r="S6" s="146" t="s">
        <v>152</v>
      </c>
      <c r="T6" s="146" t="s">
        <v>152</v>
      </c>
    </row>
    <row r="7" spans="1:22" s="1" customFormat="1" ht="22.5" customHeight="1" thickTop="1">
      <c r="A7" s="84"/>
      <c r="B7" s="118" t="s">
        <v>104</v>
      </c>
      <c r="C7" s="119"/>
      <c r="D7" s="120"/>
      <c r="E7" s="36"/>
      <c r="F7" s="10"/>
      <c r="G7" s="11"/>
      <c r="H7" s="7"/>
      <c r="I7" s="8"/>
      <c r="J7" s="7"/>
      <c r="K7" s="9"/>
      <c r="L7" s="5"/>
      <c r="M7" s="87"/>
      <c r="N7" s="93"/>
      <c r="O7" s="261" t="s">
        <v>134</v>
      </c>
      <c r="Q7" s="99"/>
      <c r="R7" s="261" t="s">
        <v>135</v>
      </c>
      <c r="S7" s="261" t="s">
        <v>147</v>
      </c>
      <c r="T7" s="262" t="s">
        <v>148</v>
      </c>
    </row>
    <row r="8" spans="1:22" s="1" customFormat="1" ht="22.5" customHeight="1">
      <c r="A8" s="193">
        <v>1</v>
      </c>
      <c r="B8" s="188" t="s">
        <v>95</v>
      </c>
      <c r="C8" s="189"/>
      <c r="D8" s="190"/>
      <c r="E8" s="194">
        <v>1</v>
      </c>
      <c r="F8" s="195" t="s">
        <v>49</v>
      </c>
      <c r="G8" s="196">
        <f>AVERAGE(N8,S8:T8)</f>
        <v>39066.666666666664</v>
      </c>
      <c r="H8" s="197">
        <f>E8*G8</f>
        <v>39066.666666666664</v>
      </c>
      <c r="I8" s="204"/>
      <c r="J8" s="197"/>
      <c r="K8" s="199">
        <f>H8+J8</f>
        <v>39066.666666666664</v>
      </c>
      <c r="L8" s="195"/>
      <c r="M8" s="200"/>
      <c r="N8" s="210">
        <v>24000</v>
      </c>
      <c r="P8" s="201">
        <v>26700</v>
      </c>
      <c r="Q8" s="229">
        <v>15400</v>
      </c>
      <c r="R8" s="229">
        <f>P8+Q8</f>
        <v>42100</v>
      </c>
      <c r="S8" s="228">
        <v>45000</v>
      </c>
      <c r="T8" s="228">
        <v>48200</v>
      </c>
    </row>
    <row r="9" spans="1:22" s="1" customFormat="1" ht="22.5" customHeight="1">
      <c r="A9" s="203">
        <v>2</v>
      </c>
      <c r="B9" s="787" t="s">
        <v>177</v>
      </c>
      <c r="C9" s="788" t="s">
        <v>96</v>
      </c>
      <c r="D9" s="789" t="s">
        <v>96</v>
      </c>
      <c r="E9" s="194">
        <v>1</v>
      </c>
      <c r="F9" s="195" t="s">
        <v>49</v>
      </c>
      <c r="G9" s="196">
        <f>750*13.26</f>
        <v>9945</v>
      </c>
      <c r="H9" s="197">
        <f t="shared" ref="H9" si="0">E9*G9</f>
        <v>9945</v>
      </c>
      <c r="I9" s="207"/>
      <c r="J9" s="197"/>
      <c r="K9" s="199">
        <f t="shared" ref="K9" si="1">H9+J9</f>
        <v>9945</v>
      </c>
      <c r="L9" s="205"/>
      <c r="M9" s="263" t="s">
        <v>180</v>
      </c>
      <c r="N9" s="210">
        <v>25000</v>
      </c>
      <c r="P9" s="229">
        <f>930*13.26</f>
        <v>12331.8</v>
      </c>
      <c r="Q9" s="229">
        <f>500*13.26</f>
        <v>6630</v>
      </c>
      <c r="R9" s="229">
        <f>P9+Q9</f>
        <v>18961.8</v>
      </c>
      <c r="S9" s="228">
        <f>2000*13.26</f>
        <v>26520</v>
      </c>
      <c r="T9" s="228">
        <v>27846</v>
      </c>
      <c r="U9" s="2"/>
      <c r="V9" s="2"/>
    </row>
    <row r="10" spans="1:22" s="1" customFormat="1" ht="22.5" customHeight="1">
      <c r="A10" s="84"/>
      <c r="B10" s="23"/>
      <c r="C10" s="24"/>
      <c r="D10" s="25"/>
      <c r="E10" s="36"/>
      <c r="F10" s="10"/>
      <c r="G10" s="11"/>
      <c r="H10" s="7"/>
      <c r="I10" s="8"/>
      <c r="J10" s="7"/>
      <c r="K10" s="9"/>
      <c r="L10" s="5"/>
      <c r="M10" s="87"/>
      <c r="N10" s="171"/>
      <c r="O10" s="217"/>
      <c r="P10" s="134"/>
      <c r="Q10" s="259"/>
      <c r="R10" s="259"/>
      <c r="S10" s="134"/>
      <c r="T10" s="134"/>
    </row>
    <row r="11" spans="1:22" s="1" customFormat="1" ht="22.5" customHeight="1">
      <c r="A11" s="84"/>
      <c r="B11" s="759"/>
      <c r="C11" s="760"/>
      <c r="D11" s="761"/>
      <c r="E11" s="36"/>
      <c r="F11" s="10"/>
      <c r="G11" s="11"/>
      <c r="H11" s="7"/>
      <c r="I11" s="16"/>
      <c r="J11" s="7"/>
      <c r="K11" s="9"/>
      <c r="L11" s="17"/>
      <c r="M11" s="88"/>
      <c r="N11" s="171"/>
      <c r="O11" s="217"/>
      <c r="P11" s="134"/>
      <c r="Q11" s="259"/>
      <c r="R11" s="259"/>
      <c r="S11" s="134"/>
      <c r="T11" s="134"/>
    </row>
    <row r="12" spans="1:22" s="1" customFormat="1" ht="22.5" customHeight="1">
      <c r="A12" s="84"/>
      <c r="B12" s="759"/>
      <c r="C12" s="760"/>
      <c r="D12" s="761"/>
      <c r="E12" s="36"/>
      <c r="F12" s="10"/>
      <c r="G12" s="6"/>
      <c r="H12" s="7"/>
      <c r="I12" s="8"/>
      <c r="J12" s="7"/>
      <c r="K12" s="9"/>
      <c r="L12" s="5"/>
      <c r="M12" s="88"/>
      <c r="N12" s="171"/>
      <c r="O12" s="217"/>
      <c r="P12" s="134"/>
      <c r="Q12" s="259"/>
      <c r="R12" s="259"/>
      <c r="S12" s="134"/>
      <c r="T12" s="134"/>
    </row>
    <row r="13" spans="1:22" s="1" customFormat="1" ht="18.75" customHeight="1">
      <c r="A13" s="84"/>
      <c r="B13" s="797"/>
      <c r="C13" s="798"/>
      <c r="D13" s="799"/>
      <c r="E13" s="36"/>
      <c r="F13" s="10"/>
      <c r="G13" s="11"/>
      <c r="H13" s="7"/>
      <c r="I13" s="8"/>
      <c r="J13" s="7"/>
      <c r="K13" s="9"/>
      <c r="L13" s="5"/>
      <c r="M13" s="88"/>
      <c r="N13" s="171"/>
      <c r="O13" s="217"/>
      <c r="P13" s="134"/>
      <c r="Q13" s="259"/>
      <c r="R13" s="259"/>
      <c r="S13" s="134"/>
      <c r="T13" s="134"/>
    </row>
    <row r="14" spans="1:22" s="1" customFormat="1" ht="18.75" customHeight="1">
      <c r="A14" s="84"/>
      <c r="B14" s="759"/>
      <c r="C14" s="760"/>
      <c r="D14" s="761"/>
      <c r="E14" s="36"/>
      <c r="F14" s="10"/>
      <c r="G14" s="11"/>
      <c r="H14" s="7"/>
      <c r="I14" s="16"/>
      <c r="J14" s="7"/>
      <c r="K14" s="9"/>
      <c r="L14" s="17"/>
      <c r="M14" s="88"/>
      <c r="N14" s="171"/>
      <c r="O14" s="217"/>
      <c r="P14" s="134"/>
      <c r="Q14" s="259"/>
      <c r="R14" s="259"/>
      <c r="S14" s="134"/>
      <c r="T14" s="134"/>
    </row>
    <row r="15" spans="1:22" s="1" customFormat="1" ht="18.75" customHeight="1">
      <c r="A15" s="84"/>
      <c r="B15" s="759"/>
      <c r="C15" s="760"/>
      <c r="D15" s="761"/>
      <c r="E15" s="36"/>
      <c r="F15" s="10"/>
      <c r="G15" s="6"/>
      <c r="H15" s="7"/>
      <c r="I15" s="8"/>
      <c r="J15" s="7"/>
      <c r="K15" s="9"/>
      <c r="L15" s="5"/>
      <c r="M15" s="88"/>
      <c r="N15" s="171"/>
      <c r="O15" s="217"/>
      <c r="P15" s="134"/>
      <c r="Q15" s="259"/>
      <c r="R15" s="259"/>
      <c r="S15" s="134"/>
      <c r="T15" s="134"/>
    </row>
    <row r="16" spans="1:22" s="1" customFormat="1" ht="18.75" customHeight="1" thickBot="1">
      <c r="A16" s="86"/>
      <c r="B16" s="759"/>
      <c r="C16" s="760"/>
      <c r="D16" s="761"/>
      <c r="E16" s="36"/>
      <c r="F16" s="10"/>
      <c r="G16" s="11"/>
      <c r="H16" s="7"/>
      <c r="I16" s="19"/>
      <c r="J16" s="7"/>
      <c r="K16" s="18"/>
      <c r="L16" s="20"/>
      <c r="M16" s="88"/>
      <c r="N16" s="171"/>
      <c r="O16" s="217"/>
      <c r="P16" s="134"/>
      <c r="Q16" s="259"/>
      <c r="R16" s="259"/>
      <c r="S16" s="134"/>
      <c r="T16" s="134"/>
    </row>
    <row r="17" spans="1:20" s="2" customFormat="1" ht="22.5" customHeight="1" thickTop="1" thickBot="1">
      <c r="A17" s="752" t="s">
        <v>14</v>
      </c>
      <c r="B17" s="753"/>
      <c r="C17" s="753"/>
      <c r="D17" s="753"/>
      <c r="E17" s="753"/>
      <c r="F17" s="753"/>
      <c r="G17" s="754"/>
      <c r="H17" s="12">
        <f>SUM(H7:H16)</f>
        <v>49011.666666666664</v>
      </c>
      <c r="I17" s="12"/>
      <c r="J17" s="12">
        <f>SUM(J7:J16)</f>
        <v>0</v>
      </c>
      <c r="K17" s="12">
        <f>SUM(K7:K16)</f>
        <v>49011.666666666664</v>
      </c>
      <c r="L17" s="13"/>
      <c r="M17" s="103"/>
      <c r="N17" s="218">
        <f>N8+N9</f>
        <v>49000</v>
      </c>
      <c r="O17" s="218">
        <v>70000</v>
      </c>
      <c r="P17" s="225"/>
      <c r="Q17" s="225"/>
      <c r="R17" s="225">
        <f>R8+R9</f>
        <v>61061.8</v>
      </c>
      <c r="S17" s="225">
        <f t="shared" ref="S17:T17" si="2">S8+S9</f>
        <v>71520</v>
      </c>
      <c r="T17" s="225">
        <f t="shared" si="2"/>
        <v>76046</v>
      </c>
    </row>
    <row r="18" spans="1:20" s="1" customFormat="1" ht="22.5" customHeight="1" thickTop="1">
      <c r="A18" s="78"/>
      <c r="B18" s="78"/>
      <c r="C18" s="78"/>
      <c r="D18" s="78"/>
      <c r="E18" s="3"/>
      <c r="F18" s="3"/>
      <c r="G18" s="3"/>
      <c r="H18" s="35"/>
      <c r="I18" s="35"/>
      <c r="J18" s="35"/>
      <c r="K18" s="35"/>
      <c r="L18" s="3"/>
    </row>
    <row r="19" spans="1:20" s="1" customFormat="1" ht="22.5" customHeight="1">
      <c r="A19" s="78"/>
      <c r="B19" s="78"/>
      <c r="C19" s="78"/>
      <c r="D19" s="79"/>
      <c r="E19" s="79"/>
      <c r="F19" s="79"/>
      <c r="G19" s="79"/>
      <c r="H19" s="751"/>
      <c r="I19" s="751"/>
      <c r="J19" s="751"/>
      <c r="K19" s="751"/>
      <c r="L19" s="3"/>
      <c r="N19" s="93"/>
      <c r="O19" s="22"/>
      <c r="Q19" s="22"/>
    </row>
  </sheetData>
  <mergeCells count="24">
    <mergeCell ref="B9:D9"/>
    <mergeCell ref="B15:D15"/>
    <mergeCell ref="B16:D16"/>
    <mergeCell ref="A17:G17"/>
    <mergeCell ref="H19:K19"/>
    <mergeCell ref="B11:D11"/>
    <mergeCell ref="B12:D12"/>
    <mergeCell ref="B13:D13"/>
    <mergeCell ref="B14:D14"/>
    <mergeCell ref="A5:A6"/>
    <mergeCell ref="B5:D6"/>
    <mergeCell ref="E5:E6"/>
    <mergeCell ref="F5:F6"/>
    <mergeCell ref="G5:H5"/>
    <mergeCell ref="I5:J5"/>
    <mergeCell ref="K5:K6"/>
    <mergeCell ref="L5:L6"/>
    <mergeCell ref="N4:T4"/>
    <mergeCell ref="P5:R5"/>
    <mergeCell ref="A1:L1"/>
    <mergeCell ref="A3:C3"/>
    <mergeCell ref="A4:C4"/>
    <mergeCell ref="D4:G4"/>
    <mergeCell ref="H4:I4"/>
  </mergeCells>
  <hyperlinks>
    <hyperlink ref="O7" r:id="rId1" xr:uid="{00000000-0004-0000-0A00-000000000000}"/>
    <hyperlink ref="R7" r:id="rId2" xr:uid="{00000000-0004-0000-0A00-000001000000}"/>
    <hyperlink ref="S7" r:id="rId3" xr:uid="{00000000-0004-0000-0A00-000002000000}"/>
    <hyperlink ref="T7" r:id="rId4" xr:uid="{00000000-0004-0000-0A00-000003000000}"/>
    <hyperlink ref="M9" r:id="rId5" xr:uid="{00000000-0004-0000-0A00-000004000000}"/>
  </hyperlinks>
  <pageMargins left="0.3" right="0" top="0.55118110236220497" bottom="0.15748031496063" header="0.196850393700787" footer="0.196850393700787"/>
  <pageSetup paperSize="9" scale="73" fitToWidth="0" orientation="landscape" horizontalDpi="300" verticalDpi="300" r:id="rId6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V78"/>
  <sheetViews>
    <sheetView topLeftCell="A55" zoomScale="80" zoomScaleNormal="80" zoomScalePageLayoutView="75" workbookViewId="0">
      <selection activeCell="N71" sqref="N71"/>
    </sheetView>
  </sheetViews>
  <sheetFormatPr defaultRowHeight="12.75"/>
  <cols>
    <col min="1" max="1" width="9.7109375" customWidth="1"/>
    <col min="2" max="2" width="9.140625" customWidth="1"/>
    <col min="3" max="3" width="9.7109375" customWidth="1"/>
    <col min="4" max="4" width="40.7109375" customWidth="1"/>
    <col min="5" max="6" width="8.7109375" customWidth="1"/>
    <col min="7" max="7" width="17.7109375" customWidth="1"/>
    <col min="8" max="8" width="19.42578125" customWidth="1"/>
    <col min="9" max="9" width="14" customWidth="1"/>
    <col min="10" max="10" width="12.140625" customWidth="1"/>
    <col min="11" max="11" width="18" customWidth="1"/>
    <col min="12" max="12" width="12.7109375" customWidth="1"/>
    <col min="13" max="13" width="8.85546875" customWidth="1"/>
    <col min="14" max="14" width="12.42578125" customWidth="1"/>
    <col min="15" max="15" width="13.85546875" customWidth="1"/>
    <col min="16" max="16" width="12.85546875" customWidth="1"/>
    <col min="17" max="17" width="14.42578125" customWidth="1"/>
    <col min="18" max="18" width="14.28515625" bestFit="1" customWidth="1"/>
  </cols>
  <sheetData>
    <row r="1" spans="1:18" ht="33.75" customHeight="1">
      <c r="A1" s="782" t="s">
        <v>23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316" t="s">
        <v>186</v>
      </c>
      <c r="M1" s="28"/>
    </row>
    <row r="2" spans="1:18" ht="22.5" customHeight="1">
      <c r="A2" s="89" t="s">
        <v>33</v>
      </c>
      <c r="B2" s="89"/>
      <c r="C2" s="67"/>
      <c r="D2" s="800" t="s">
        <v>99</v>
      </c>
      <c r="E2" s="800"/>
      <c r="F2" s="800"/>
      <c r="G2" s="800"/>
      <c r="H2" s="800"/>
      <c r="I2" s="800"/>
      <c r="J2" s="800"/>
      <c r="K2" s="800"/>
      <c r="L2" s="67"/>
    </row>
    <row r="3" spans="1:18" ht="22.5" customHeight="1">
      <c r="A3" s="783" t="s">
        <v>0</v>
      </c>
      <c r="B3" s="783"/>
      <c r="C3" s="783"/>
      <c r="D3" s="75" t="s">
        <v>48</v>
      </c>
      <c r="E3" s="75"/>
      <c r="F3" s="75"/>
      <c r="G3" s="75"/>
      <c r="H3" s="75"/>
      <c r="I3" s="89"/>
      <c r="J3" s="75"/>
      <c r="K3" s="75"/>
      <c r="L3" s="75"/>
    </row>
    <row r="4" spans="1:18" ht="22.5" customHeight="1">
      <c r="A4" s="783" t="s">
        <v>7</v>
      </c>
      <c r="B4" s="783"/>
      <c r="C4" s="783"/>
      <c r="D4" s="801" t="s">
        <v>138</v>
      </c>
      <c r="E4" s="801"/>
      <c r="F4" s="801"/>
      <c r="G4" s="801"/>
      <c r="H4" s="781"/>
      <c r="I4" s="781"/>
      <c r="J4" s="233"/>
      <c r="K4" s="233"/>
      <c r="L4" s="233"/>
    </row>
    <row r="5" spans="1:18" ht="22.5" customHeight="1">
      <c r="A5" s="805" t="s">
        <v>3</v>
      </c>
      <c r="B5" s="805" t="s">
        <v>4</v>
      </c>
      <c r="C5" s="805"/>
      <c r="D5" s="805"/>
      <c r="E5" s="806" t="s">
        <v>11</v>
      </c>
      <c r="F5" s="805" t="s">
        <v>13</v>
      </c>
      <c r="G5" s="809" t="s">
        <v>18</v>
      </c>
      <c r="H5" s="809"/>
      <c r="I5" s="809" t="s">
        <v>15</v>
      </c>
      <c r="J5" s="809"/>
      <c r="K5" s="807" t="s">
        <v>17</v>
      </c>
      <c r="L5" s="805" t="s">
        <v>5</v>
      </c>
      <c r="N5" s="808" t="s">
        <v>111</v>
      </c>
      <c r="O5" s="808"/>
      <c r="P5" s="808"/>
      <c r="Q5" s="808"/>
      <c r="R5" s="808"/>
    </row>
    <row r="6" spans="1:18" ht="25.5" customHeight="1">
      <c r="A6" s="805"/>
      <c r="B6" s="805"/>
      <c r="C6" s="805"/>
      <c r="D6" s="805"/>
      <c r="E6" s="806"/>
      <c r="F6" s="805"/>
      <c r="G6" s="268" t="s">
        <v>24</v>
      </c>
      <c r="H6" s="268" t="s">
        <v>16</v>
      </c>
      <c r="I6" s="268" t="s">
        <v>24</v>
      </c>
      <c r="J6" s="268" t="s">
        <v>16</v>
      </c>
      <c r="K6" s="807"/>
      <c r="L6" s="805"/>
      <c r="N6" s="145" t="s">
        <v>109</v>
      </c>
      <c r="O6" s="146" t="s">
        <v>121</v>
      </c>
      <c r="P6" s="146" t="s">
        <v>122</v>
      </c>
      <c r="Q6" s="146" t="s">
        <v>132</v>
      </c>
      <c r="R6" s="122"/>
    </row>
    <row r="7" spans="1:18" ht="27" customHeight="1">
      <c r="A7" s="266"/>
      <c r="B7" s="802" t="s">
        <v>184</v>
      </c>
      <c r="C7" s="803"/>
      <c r="D7" s="804"/>
      <c r="E7" s="267"/>
      <c r="F7" s="266"/>
      <c r="G7" s="268"/>
      <c r="H7" s="268"/>
      <c r="I7" s="268"/>
      <c r="J7" s="268"/>
      <c r="K7" s="269"/>
      <c r="L7" s="266"/>
      <c r="N7" s="145"/>
      <c r="O7" s="146"/>
      <c r="P7" s="146"/>
      <c r="Q7" s="146"/>
      <c r="R7" s="122"/>
    </row>
    <row r="8" spans="1:18" ht="24" customHeight="1">
      <c r="A8" s="266"/>
      <c r="B8" s="802" t="s">
        <v>193</v>
      </c>
      <c r="C8" s="803"/>
      <c r="D8" s="804"/>
      <c r="E8" s="267"/>
      <c r="F8" s="266"/>
      <c r="G8" s="268"/>
      <c r="H8" s="268"/>
      <c r="I8" s="268"/>
      <c r="J8" s="268"/>
      <c r="K8" s="269"/>
      <c r="L8" s="266"/>
      <c r="N8" s="145"/>
      <c r="O8" s="146"/>
      <c r="P8" s="146"/>
      <c r="Q8" s="146"/>
      <c r="R8" s="122"/>
    </row>
    <row r="9" spans="1:18" ht="29.25" customHeight="1">
      <c r="A9" s="292"/>
      <c r="B9" s="293" t="s">
        <v>60</v>
      </c>
      <c r="C9" s="294"/>
      <c r="D9" s="294"/>
      <c r="E9" s="295"/>
      <c r="F9" s="296"/>
      <c r="G9" s="297"/>
      <c r="H9" s="298"/>
      <c r="I9" s="298"/>
      <c r="J9" s="298"/>
      <c r="K9" s="299"/>
      <c r="L9" s="300"/>
      <c r="N9" s="125" t="s">
        <v>133</v>
      </c>
      <c r="O9" s="153" t="s">
        <v>135</v>
      </c>
      <c r="P9" s="153" t="s">
        <v>134</v>
      </c>
      <c r="Q9" s="153" t="s">
        <v>147</v>
      </c>
      <c r="R9" s="153" t="s">
        <v>148</v>
      </c>
    </row>
    <row r="10" spans="1:18" s="140" customFormat="1" ht="22.5" customHeight="1">
      <c r="A10" s="279">
        <v>1</v>
      </c>
      <c r="B10" s="276" t="s">
        <v>61</v>
      </c>
      <c r="C10" s="276"/>
      <c r="D10" s="276"/>
      <c r="E10" s="280">
        <v>2</v>
      </c>
      <c r="F10" s="279" t="s">
        <v>50</v>
      </c>
      <c r="G10" s="141">
        <f>AVERAGE(O10:Q10)</f>
        <v>128333.33333333333</v>
      </c>
      <c r="H10" s="281">
        <f>SUM(G10)*$E10</f>
        <v>256666.66666666666</v>
      </c>
      <c r="I10" s="141"/>
      <c r="J10" s="282">
        <f>SUM(I10)*$E10</f>
        <v>0</v>
      </c>
      <c r="K10" s="282"/>
      <c r="L10" s="283"/>
      <c r="M10" s="149"/>
      <c r="N10" s="147">
        <v>136000</v>
      </c>
      <c r="O10" s="148">
        <v>80000</v>
      </c>
      <c r="P10" s="148">
        <v>150000</v>
      </c>
      <c r="Q10" s="130">
        <v>155000</v>
      </c>
      <c r="R10" s="169">
        <v>166400</v>
      </c>
    </row>
    <row r="11" spans="1:18" s="107" customFormat="1" ht="22.5" customHeight="1">
      <c r="A11" s="264">
        <v>2</v>
      </c>
      <c r="B11" s="143" t="s">
        <v>87</v>
      </c>
      <c r="C11" s="143"/>
      <c r="D11" s="143"/>
      <c r="E11" s="272">
        <v>1</v>
      </c>
      <c r="F11" s="275" t="s">
        <v>50</v>
      </c>
      <c r="G11" s="141">
        <f t="shared" ref="G11:G34" si="0">AVERAGE(O11:Q11)</f>
        <v>100490</v>
      </c>
      <c r="H11" s="284">
        <f>SUM(G11)*$E11</f>
        <v>100490</v>
      </c>
      <c r="I11" s="130"/>
      <c r="J11" s="284">
        <f>SUM(I11)*$E11</f>
        <v>0</v>
      </c>
      <c r="K11" s="285">
        <f>SUM(,H11,J11)</f>
        <v>100490</v>
      </c>
      <c r="L11" s="286"/>
      <c r="M11" s="150"/>
      <c r="N11" s="130">
        <v>119000</v>
      </c>
      <c r="O11" s="131">
        <v>66670</v>
      </c>
      <c r="P11" s="131">
        <v>105000</v>
      </c>
      <c r="Q11" s="130">
        <v>129800</v>
      </c>
      <c r="R11" s="170">
        <v>138900</v>
      </c>
    </row>
    <row r="12" spans="1:18" s="107" customFormat="1" ht="22.5" customHeight="1">
      <c r="A12" s="264">
        <v>3</v>
      </c>
      <c r="B12" s="143" t="s">
        <v>62</v>
      </c>
      <c r="C12" s="143"/>
      <c r="D12" s="143"/>
      <c r="E12" s="272">
        <v>1</v>
      </c>
      <c r="F12" s="275" t="s">
        <v>50</v>
      </c>
      <c r="G12" s="141">
        <f t="shared" si="0"/>
        <v>115453.33333333333</v>
      </c>
      <c r="H12" s="284">
        <f t="shared" ref="H12:H34" si="1">SUM(G12)*$E12</f>
        <v>115453.33333333333</v>
      </c>
      <c r="I12" s="130"/>
      <c r="J12" s="284">
        <f t="shared" ref="J12:J15" si="2">SUM(I12)*$E12</f>
        <v>0</v>
      </c>
      <c r="K12" s="285">
        <f t="shared" ref="K12:K14" si="3">SUM(,H12,J12)</f>
        <v>115453.33333333333</v>
      </c>
      <c r="L12" s="286"/>
      <c r="M12" s="150"/>
      <c r="N12" s="130">
        <v>125000</v>
      </c>
      <c r="O12" s="131">
        <v>75560</v>
      </c>
      <c r="P12" s="131">
        <v>125000</v>
      </c>
      <c r="Q12" s="130">
        <v>145800</v>
      </c>
      <c r="R12" s="170">
        <v>156000</v>
      </c>
    </row>
    <row r="13" spans="1:18" s="107" customFormat="1" ht="22.5" customHeight="1">
      <c r="A13" s="264">
        <v>4</v>
      </c>
      <c r="B13" s="143" t="s">
        <v>63</v>
      </c>
      <c r="C13" s="143"/>
      <c r="D13" s="143"/>
      <c r="E13" s="272">
        <v>4</v>
      </c>
      <c r="F13" s="275" t="s">
        <v>52</v>
      </c>
      <c r="G13" s="141">
        <f t="shared" si="0"/>
        <v>24260</v>
      </c>
      <c r="H13" s="284">
        <f t="shared" si="1"/>
        <v>97040</v>
      </c>
      <c r="I13" s="130"/>
      <c r="J13" s="284">
        <f t="shared" si="2"/>
        <v>0</v>
      </c>
      <c r="K13" s="285">
        <f t="shared" si="3"/>
        <v>97040</v>
      </c>
      <c r="L13" s="286"/>
      <c r="M13" s="150"/>
      <c r="N13" s="130">
        <v>20000</v>
      </c>
      <c r="O13" s="131">
        <v>17780</v>
      </c>
      <c r="P13" s="131">
        <v>28000</v>
      </c>
      <c r="Q13" s="130">
        <v>27000</v>
      </c>
      <c r="R13" s="170">
        <v>28900</v>
      </c>
    </row>
    <row r="14" spans="1:18" s="107" customFormat="1" ht="22.5" customHeight="1">
      <c r="A14" s="264">
        <v>5</v>
      </c>
      <c r="B14" s="287" t="s">
        <v>88</v>
      </c>
      <c r="C14" s="287"/>
      <c r="D14" s="287"/>
      <c r="E14" s="272">
        <v>1</v>
      </c>
      <c r="F14" s="275" t="s">
        <v>52</v>
      </c>
      <c r="G14" s="141">
        <f t="shared" si="0"/>
        <v>358706.66666666669</v>
      </c>
      <c r="H14" s="284">
        <f t="shared" si="1"/>
        <v>358706.66666666669</v>
      </c>
      <c r="I14" s="130"/>
      <c r="J14" s="284">
        <f t="shared" si="2"/>
        <v>0</v>
      </c>
      <c r="K14" s="285">
        <f t="shared" si="3"/>
        <v>358706.66666666669</v>
      </c>
      <c r="L14" s="286"/>
      <c r="M14" s="150"/>
      <c r="N14" s="130">
        <v>555000</v>
      </c>
      <c r="O14" s="131">
        <v>311120</v>
      </c>
      <c r="P14" s="131">
        <v>390000</v>
      </c>
      <c r="Q14" s="130">
        <v>375000</v>
      </c>
      <c r="R14" s="170">
        <v>401300</v>
      </c>
    </row>
    <row r="15" spans="1:18" s="107" customFormat="1" ht="22.5" customHeight="1">
      <c r="A15" s="264">
        <v>6</v>
      </c>
      <c r="B15" s="287" t="s">
        <v>64</v>
      </c>
      <c r="C15" s="287"/>
      <c r="D15" s="287"/>
      <c r="E15" s="272">
        <v>2</v>
      </c>
      <c r="F15" s="275" t="s">
        <v>52</v>
      </c>
      <c r="G15" s="141">
        <f t="shared" si="0"/>
        <v>431113.33333333331</v>
      </c>
      <c r="H15" s="284">
        <f t="shared" si="1"/>
        <v>862226.66666666663</v>
      </c>
      <c r="I15" s="130"/>
      <c r="J15" s="284">
        <f t="shared" si="2"/>
        <v>0</v>
      </c>
      <c r="K15" s="285">
        <f>SUM(,H15,J15)</f>
        <v>862226.66666666663</v>
      </c>
      <c r="L15" s="286"/>
      <c r="M15" s="150"/>
      <c r="N15" s="130">
        <v>540000</v>
      </c>
      <c r="O15" s="131">
        <v>433340</v>
      </c>
      <c r="P15" s="131">
        <v>380000</v>
      </c>
      <c r="Q15" s="130">
        <v>480000</v>
      </c>
      <c r="R15" s="170">
        <v>513600</v>
      </c>
    </row>
    <row r="16" spans="1:18" s="107" customFormat="1" ht="22.5" customHeight="1">
      <c r="A16" s="264">
        <v>7</v>
      </c>
      <c r="B16" s="287" t="s">
        <v>89</v>
      </c>
      <c r="C16" s="287"/>
      <c r="D16" s="287"/>
      <c r="E16" s="272">
        <v>1</v>
      </c>
      <c r="F16" s="275" t="s">
        <v>52</v>
      </c>
      <c r="G16" s="141">
        <f t="shared" si="0"/>
        <v>295706.66666666669</v>
      </c>
      <c r="H16" s="284">
        <f t="shared" si="1"/>
        <v>295706.66666666669</v>
      </c>
      <c r="I16" s="130"/>
      <c r="J16" s="284">
        <f t="shared" ref="J16:J34" si="4">SUM(I16)*$E16</f>
        <v>0</v>
      </c>
      <c r="K16" s="285">
        <f t="shared" ref="K16:K34" si="5">SUM(,H16,J16)</f>
        <v>295706.66666666669</v>
      </c>
      <c r="L16" s="286"/>
      <c r="M16" s="150"/>
      <c r="N16" s="130">
        <v>430000</v>
      </c>
      <c r="O16" s="131">
        <v>311120</v>
      </c>
      <c r="P16" s="131">
        <v>280000</v>
      </c>
      <c r="Q16" s="130">
        <v>296000</v>
      </c>
      <c r="R16" s="170">
        <v>316700</v>
      </c>
    </row>
    <row r="17" spans="1:18" s="107" customFormat="1" ht="22.5" customHeight="1">
      <c r="A17" s="264">
        <v>8</v>
      </c>
      <c r="B17" s="762" t="s">
        <v>53</v>
      </c>
      <c r="C17" s="763"/>
      <c r="D17" s="764"/>
      <c r="E17" s="272">
        <v>12</v>
      </c>
      <c r="F17" s="264" t="s">
        <v>51</v>
      </c>
      <c r="G17" s="141">
        <f t="shared" si="0"/>
        <v>4593.333333333333</v>
      </c>
      <c r="H17" s="284">
        <f>SUM(G17)*$E17</f>
        <v>55120</v>
      </c>
      <c r="I17" s="130"/>
      <c r="J17" s="284">
        <f t="shared" si="4"/>
        <v>0</v>
      </c>
      <c r="K17" s="285">
        <f t="shared" si="5"/>
        <v>55120</v>
      </c>
      <c r="L17" s="286"/>
      <c r="M17" s="150"/>
      <c r="N17" s="130">
        <v>5000</v>
      </c>
      <c r="O17" s="151">
        <v>2780</v>
      </c>
      <c r="P17" s="131">
        <v>4000</v>
      </c>
      <c r="Q17" s="130">
        <v>7000</v>
      </c>
      <c r="R17" s="170">
        <v>7500</v>
      </c>
    </row>
    <row r="18" spans="1:18" s="107" customFormat="1" ht="22.5" customHeight="1">
      <c r="A18" s="264">
        <v>9</v>
      </c>
      <c r="B18" s="287" t="s">
        <v>65</v>
      </c>
      <c r="C18" s="287"/>
      <c r="D18" s="287"/>
      <c r="E18" s="272">
        <v>1</v>
      </c>
      <c r="F18" s="264" t="s">
        <v>50</v>
      </c>
      <c r="G18" s="141">
        <f t="shared" si="0"/>
        <v>40296.666666666664</v>
      </c>
      <c r="H18" s="284">
        <f t="shared" si="1"/>
        <v>40296.666666666664</v>
      </c>
      <c r="I18" s="130"/>
      <c r="J18" s="284">
        <f t="shared" si="4"/>
        <v>0</v>
      </c>
      <c r="K18" s="285">
        <f t="shared" si="5"/>
        <v>40296.666666666664</v>
      </c>
      <c r="L18" s="286"/>
      <c r="M18" s="150"/>
      <c r="N18" s="130">
        <v>45000</v>
      </c>
      <c r="O18" s="151">
        <v>38890</v>
      </c>
      <c r="P18" s="131">
        <v>32000</v>
      </c>
      <c r="Q18" s="130">
        <v>50000</v>
      </c>
      <c r="R18" s="170">
        <v>53500</v>
      </c>
    </row>
    <row r="19" spans="1:18" s="107" customFormat="1" ht="29.25" hidden="1" customHeight="1">
      <c r="A19" s="264"/>
      <c r="B19" s="287"/>
      <c r="C19" s="287"/>
      <c r="D19" s="287"/>
      <c r="E19" s="272"/>
      <c r="F19" s="264"/>
      <c r="G19" s="141" t="e">
        <f t="shared" si="0"/>
        <v>#DIV/0!</v>
      </c>
      <c r="H19" s="284"/>
      <c r="I19" s="130"/>
      <c r="J19" s="284"/>
      <c r="K19" s="285"/>
      <c r="L19" s="286"/>
      <c r="M19" s="150"/>
      <c r="N19" s="130"/>
      <c r="O19" s="151"/>
      <c r="P19" s="131"/>
      <c r="Q19" s="130"/>
      <c r="R19" s="170"/>
    </row>
    <row r="20" spans="1:18" s="107" customFormat="1" ht="25.5" customHeight="1">
      <c r="A20" s="264">
        <v>10</v>
      </c>
      <c r="B20" s="287" t="s">
        <v>90</v>
      </c>
      <c r="C20" s="287"/>
      <c r="D20" s="287"/>
      <c r="E20" s="272">
        <v>1</v>
      </c>
      <c r="F20" s="264" t="s">
        <v>50</v>
      </c>
      <c r="G20" s="141">
        <f t="shared" si="0"/>
        <v>190556.66666666666</v>
      </c>
      <c r="H20" s="284">
        <f t="shared" si="1"/>
        <v>190556.66666666666</v>
      </c>
      <c r="I20" s="130"/>
      <c r="J20" s="284">
        <f t="shared" si="4"/>
        <v>0</v>
      </c>
      <c r="K20" s="285">
        <f t="shared" si="5"/>
        <v>190556.66666666666</v>
      </c>
      <c r="L20" s="286"/>
      <c r="M20" s="150"/>
      <c r="N20" s="130">
        <v>265000</v>
      </c>
      <c r="O20" s="131">
        <v>81670</v>
      </c>
      <c r="P20" s="131">
        <v>230000</v>
      </c>
      <c r="Q20" s="130">
        <v>260000</v>
      </c>
      <c r="R20" s="170">
        <v>278200</v>
      </c>
    </row>
    <row r="21" spans="1:18" s="107" customFormat="1" ht="25.5" customHeight="1">
      <c r="A21" s="264">
        <v>11</v>
      </c>
      <c r="B21" s="287" t="s">
        <v>66</v>
      </c>
      <c r="C21" s="287"/>
      <c r="D21" s="287"/>
      <c r="E21" s="272">
        <v>1</v>
      </c>
      <c r="F21" s="264" t="s">
        <v>52</v>
      </c>
      <c r="G21" s="141">
        <f t="shared" si="0"/>
        <v>23593.333333333332</v>
      </c>
      <c r="H21" s="284">
        <f t="shared" si="1"/>
        <v>23593.333333333332</v>
      </c>
      <c r="I21" s="130"/>
      <c r="J21" s="284">
        <f t="shared" si="4"/>
        <v>0</v>
      </c>
      <c r="K21" s="285">
        <f t="shared" si="5"/>
        <v>23593.333333333332</v>
      </c>
      <c r="L21" s="286"/>
      <c r="M21" s="150"/>
      <c r="N21" s="130">
        <v>19000</v>
      </c>
      <c r="O21" s="131">
        <v>17780</v>
      </c>
      <c r="P21" s="131">
        <v>26000</v>
      </c>
      <c r="Q21" s="130">
        <v>27000</v>
      </c>
      <c r="R21" s="170">
        <v>28900</v>
      </c>
    </row>
    <row r="22" spans="1:18" s="107" customFormat="1" ht="25.5" customHeight="1">
      <c r="A22" s="264">
        <v>12</v>
      </c>
      <c r="B22" s="287" t="s">
        <v>67</v>
      </c>
      <c r="C22" s="287"/>
      <c r="D22" s="287"/>
      <c r="E22" s="272">
        <v>1</v>
      </c>
      <c r="F22" s="264" t="s">
        <v>52</v>
      </c>
      <c r="G22" s="141">
        <f t="shared" si="0"/>
        <v>20593.333333333332</v>
      </c>
      <c r="H22" s="284">
        <f t="shared" si="1"/>
        <v>20593.333333333332</v>
      </c>
      <c r="I22" s="130"/>
      <c r="J22" s="284">
        <f t="shared" si="4"/>
        <v>0</v>
      </c>
      <c r="K22" s="285">
        <f t="shared" si="5"/>
        <v>20593.333333333332</v>
      </c>
      <c r="L22" s="286"/>
      <c r="M22" s="150"/>
      <c r="N22" s="130">
        <v>14000</v>
      </c>
      <c r="O22" s="131">
        <v>17780</v>
      </c>
      <c r="P22" s="131">
        <v>22000</v>
      </c>
      <c r="Q22" s="130">
        <v>22000</v>
      </c>
      <c r="R22" s="170">
        <v>23500</v>
      </c>
    </row>
    <row r="23" spans="1:18" s="107" customFormat="1" ht="25.5" customHeight="1">
      <c r="A23" s="264">
        <v>13</v>
      </c>
      <c r="B23" s="287" t="s">
        <v>68</v>
      </c>
      <c r="C23" s="287"/>
      <c r="D23" s="287"/>
      <c r="E23" s="272">
        <v>1</v>
      </c>
      <c r="F23" s="264" t="s">
        <v>52</v>
      </c>
      <c r="G23" s="141">
        <f t="shared" si="0"/>
        <v>13780</v>
      </c>
      <c r="H23" s="284">
        <f t="shared" si="1"/>
        <v>13780</v>
      </c>
      <c r="I23" s="130"/>
      <c r="J23" s="284">
        <f t="shared" si="4"/>
        <v>0</v>
      </c>
      <c r="K23" s="285">
        <f t="shared" si="5"/>
        <v>13780</v>
      </c>
      <c r="L23" s="286"/>
      <c r="M23" s="150"/>
      <c r="N23" s="130">
        <v>8000</v>
      </c>
      <c r="O23" s="131">
        <v>13340</v>
      </c>
      <c r="P23" s="131">
        <v>13000</v>
      </c>
      <c r="Q23" s="130">
        <v>15000</v>
      </c>
      <c r="R23" s="170">
        <v>16100</v>
      </c>
    </row>
    <row r="24" spans="1:18" s="107" customFormat="1" ht="25.5" customHeight="1">
      <c r="A24" s="264">
        <v>14</v>
      </c>
      <c r="B24" s="287" t="s">
        <v>69</v>
      </c>
      <c r="C24" s="287"/>
      <c r="D24" s="287"/>
      <c r="E24" s="272">
        <v>1</v>
      </c>
      <c r="F24" s="264" t="s">
        <v>50</v>
      </c>
      <c r="G24" s="141">
        <f>AVERAGE(O24:Q24)</f>
        <v>36593.333333333336</v>
      </c>
      <c r="H24" s="284">
        <f t="shared" si="1"/>
        <v>36593.333333333336</v>
      </c>
      <c r="I24" s="130"/>
      <c r="J24" s="284">
        <f t="shared" si="4"/>
        <v>0</v>
      </c>
      <c r="K24" s="285">
        <f t="shared" si="5"/>
        <v>36593.333333333336</v>
      </c>
      <c r="L24" s="286"/>
      <c r="M24" s="150"/>
      <c r="N24" s="130">
        <v>18000</v>
      </c>
      <c r="O24" s="131">
        <v>57780</v>
      </c>
      <c r="P24" s="131">
        <v>25000</v>
      </c>
      <c r="Q24" s="130">
        <v>27000</v>
      </c>
      <c r="R24" s="170">
        <v>28900</v>
      </c>
    </row>
    <row r="25" spans="1:18" s="107" customFormat="1" ht="25.5" customHeight="1">
      <c r="A25" s="264">
        <v>15</v>
      </c>
      <c r="B25" s="287" t="s">
        <v>70</v>
      </c>
      <c r="C25" s="287"/>
      <c r="D25" s="287"/>
      <c r="E25" s="272">
        <v>3</v>
      </c>
      <c r="F25" s="264" t="s">
        <v>50</v>
      </c>
      <c r="G25" s="141">
        <f t="shared" si="0"/>
        <v>23816.666666666668</v>
      </c>
      <c r="H25" s="284">
        <f t="shared" si="1"/>
        <v>71450</v>
      </c>
      <c r="I25" s="130"/>
      <c r="J25" s="284">
        <f t="shared" si="4"/>
        <v>0</v>
      </c>
      <c r="K25" s="285">
        <f t="shared" si="5"/>
        <v>71450</v>
      </c>
      <c r="L25" s="286"/>
      <c r="M25" s="150"/>
      <c r="N25" s="130">
        <v>19000</v>
      </c>
      <c r="O25" s="131">
        <v>24450</v>
      </c>
      <c r="P25" s="131">
        <v>18000</v>
      </c>
      <c r="Q25" s="130">
        <v>29000</v>
      </c>
      <c r="R25" s="170">
        <v>31000</v>
      </c>
    </row>
    <row r="26" spans="1:18" s="107" customFormat="1" ht="25.5" customHeight="1">
      <c r="A26" s="264">
        <v>16</v>
      </c>
      <c r="B26" s="287" t="s">
        <v>71</v>
      </c>
      <c r="C26" s="287"/>
      <c r="D26" s="287"/>
      <c r="E26" s="272">
        <v>3</v>
      </c>
      <c r="F26" s="264" t="s">
        <v>50</v>
      </c>
      <c r="G26" s="141">
        <f t="shared" si="0"/>
        <v>24816.666666666668</v>
      </c>
      <c r="H26" s="284">
        <f t="shared" si="1"/>
        <v>74450</v>
      </c>
      <c r="I26" s="130"/>
      <c r="J26" s="284">
        <f t="shared" si="4"/>
        <v>0</v>
      </c>
      <c r="K26" s="285">
        <f t="shared" si="5"/>
        <v>74450</v>
      </c>
      <c r="L26" s="286"/>
      <c r="M26" s="150"/>
      <c r="N26" s="130">
        <v>20000</v>
      </c>
      <c r="O26" s="131">
        <v>24450</v>
      </c>
      <c r="P26" s="131">
        <v>23000</v>
      </c>
      <c r="Q26" s="130">
        <v>27000</v>
      </c>
      <c r="R26" s="170">
        <v>28900</v>
      </c>
    </row>
    <row r="27" spans="1:18" s="107" customFormat="1" ht="25.5" customHeight="1">
      <c r="A27" s="264">
        <v>17</v>
      </c>
      <c r="B27" s="287" t="s">
        <v>72</v>
      </c>
      <c r="C27" s="287"/>
      <c r="D27" s="287"/>
      <c r="E27" s="272">
        <v>2</v>
      </c>
      <c r="F27" s="264" t="s">
        <v>76</v>
      </c>
      <c r="G27" s="141">
        <f t="shared" si="0"/>
        <v>14113.333333333334</v>
      </c>
      <c r="H27" s="284">
        <f t="shared" si="1"/>
        <v>28226.666666666668</v>
      </c>
      <c r="I27" s="130"/>
      <c r="J27" s="284">
        <f t="shared" si="4"/>
        <v>0</v>
      </c>
      <c r="K27" s="285">
        <f t="shared" si="5"/>
        <v>28226.666666666668</v>
      </c>
      <c r="L27" s="286"/>
      <c r="M27" s="150"/>
      <c r="N27" s="130">
        <v>16000</v>
      </c>
      <c r="O27" s="131">
        <v>13340</v>
      </c>
      <c r="P27" s="131">
        <v>15000</v>
      </c>
      <c r="Q27" s="130">
        <v>14000</v>
      </c>
      <c r="R27" s="170">
        <v>15000</v>
      </c>
    </row>
    <row r="28" spans="1:18" s="107" customFormat="1" ht="29.25" hidden="1" customHeight="1">
      <c r="A28" s="264"/>
      <c r="B28" s="287"/>
      <c r="C28" s="287"/>
      <c r="D28" s="287"/>
      <c r="E28" s="272"/>
      <c r="F28" s="264"/>
      <c r="G28" s="141" t="e">
        <f t="shared" si="0"/>
        <v>#DIV/0!</v>
      </c>
      <c r="H28" s="284"/>
      <c r="I28" s="130"/>
      <c r="J28" s="284"/>
      <c r="K28" s="285"/>
      <c r="L28" s="286"/>
      <c r="M28" s="150"/>
      <c r="N28" s="130"/>
      <c r="O28" s="131"/>
      <c r="P28" s="131"/>
      <c r="Q28" s="130"/>
      <c r="R28" s="170"/>
    </row>
    <row r="29" spans="1:18" s="107" customFormat="1" ht="29.25" hidden="1" customHeight="1">
      <c r="A29" s="264"/>
      <c r="B29" s="287"/>
      <c r="C29" s="287"/>
      <c r="D29" s="287"/>
      <c r="E29" s="272"/>
      <c r="F29" s="264"/>
      <c r="G29" s="141" t="e">
        <f t="shared" si="0"/>
        <v>#DIV/0!</v>
      </c>
      <c r="H29" s="284"/>
      <c r="I29" s="130"/>
      <c r="J29" s="284"/>
      <c r="K29" s="285"/>
      <c r="L29" s="286"/>
      <c r="M29" s="150"/>
      <c r="N29" s="130"/>
      <c r="O29" s="131"/>
      <c r="P29" s="131"/>
      <c r="Q29" s="130"/>
      <c r="R29" s="170"/>
    </row>
    <row r="30" spans="1:18" s="107" customFormat="1" ht="29.25" hidden="1" customHeight="1">
      <c r="A30" s="264"/>
      <c r="B30" s="287"/>
      <c r="C30" s="287"/>
      <c r="D30" s="287"/>
      <c r="E30" s="272"/>
      <c r="F30" s="264"/>
      <c r="G30" s="141" t="e">
        <f t="shared" si="0"/>
        <v>#DIV/0!</v>
      </c>
      <c r="H30" s="284"/>
      <c r="I30" s="130"/>
      <c r="J30" s="284"/>
      <c r="K30" s="285"/>
      <c r="L30" s="286"/>
      <c r="M30" s="150"/>
      <c r="N30" s="130"/>
      <c r="O30" s="131"/>
      <c r="P30" s="131"/>
      <c r="Q30" s="130"/>
      <c r="R30" s="170"/>
    </row>
    <row r="31" spans="1:18" s="107" customFormat="1" ht="25.5" customHeight="1">
      <c r="A31" s="264">
        <v>18</v>
      </c>
      <c r="B31" s="287" t="s">
        <v>73</v>
      </c>
      <c r="C31" s="287"/>
      <c r="D31" s="287"/>
      <c r="E31" s="272">
        <v>4</v>
      </c>
      <c r="F31" s="264" t="s">
        <v>50</v>
      </c>
      <c r="G31" s="141">
        <f t="shared" si="0"/>
        <v>9816.6666666666661</v>
      </c>
      <c r="H31" s="284">
        <f t="shared" si="1"/>
        <v>39266.666666666664</v>
      </c>
      <c r="I31" s="130"/>
      <c r="J31" s="284">
        <f t="shared" si="4"/>
        <v>0</v>
      </c>
      <c r="K31" s="285">
        <f>SUM(,H31,J31)</f>
        <v>39266.666666666664</v>
      </c>
      <c r="L31" s="286"/>
      <c r="M31" s="150"/>
      <c r="N31" s="130">
        <v>8000</v>
      </c>
      <c r="O31" s="131">
        <v>9450</v>
      </c>
      <c r="P31" s="131">
        <v>10000</v>
      </c>
      <c r="Q31" s="130">
        <v>10000</v>
      </c>
      <c r="R31" s="170">
        <v>10700</v>
      </c>
    </row>
    <row r="32" spans="1:18" s="107" customFormat="1" ht="25.5" customHeight="1">
      <c r="A32" s="264">
        <v>19</v>
      </c>
      <c r="B32" s="287" t="s">
        <v>63</v>
      </c>
      <c r="C32" s="287"/>
      <c r="D32" s="287"/>
      <c r="E32" s="272">
        <v>1</v>
      </c>
      <c r="F32" s="264" t="s">
        <v>52</v>
      </c>
      <c r="G32" s="141">
        <f t="shared" si="0"/>
        <v>24260</v>
      </c>
      <c r="H32" s="284">
        <f t="shared" si="1"/>
        <v>24260</v>
      </c>
      <c r="I32" s="130"/>
      <c r="J32" s="284">
        <f t="shared" si="4"/>
        <v>0</v>
      </c>
      <c r="K32" s="285">
        <f t="shared" si="5"/>
        <v>24260</v>
      </c>
      <c r="L32" s="286"/>
      <c r="M32" s="150"/>
      <c r="N32" s="130">
        <v>19000</v>
      </c>
      <c r="O32" s="131">
        <v>17780</v>
      </c>
      <c r="P32" s="131">
        <v>28000</v>
      </c>
      <c r="Q32" s="130">
        <v>27000</v>
      </c>
      <c r="R32" s="170">
        <v>28290</v>
      </c>
    </row>
    <row r="33" spans="1:20" s="107" customFormat="1" ht="25.5" customHeight="1">
      <c r="A33" s="264">
        <v>20</v>
      </c>
      <c r="B33" s="287" t="s">
        <v>74</v>
      </c>
      <c r="C33" s="287"/>
      <c r="D33" s="287"/>
      <c r="E33" s="272">
        <v>1</v>
      </c>
      <c r="F33" s="264" t="s">
        <v>52</v>
      </c>
      <c r="G33" s="141">
        <f t="shared" si="0"/>
        <v>95780</v>
      </c>
      <c r="H33" s="284">
        <f t="shared" si="1"/>
        <v>95780</v>
      </c>
      <c r="I33" s="130"/>
      <c r="J33" s="284">
        <f t="shared" si="4"/>
        <v>0</v>
      </c>
      <c r="K33" s="285">
        <f t="shared" si="5"/>
        <v>95780</v>
      </c>
      <c r="L33" s="286"/>
      <c r="M33" s="150"/>
      <c r="N33" s="130">
        <v>99000</v>
      </c>
      <c r="O33" s="131">
        <v>133340</v>
      </c>
      <c r="P33" s="131">
        <v>99000</v>
      </c>
      <c r="Q33" s="130">
        <v>55000</v>
      </c>
      <c r="R33" s="170">
        <v>91000</v>
      </c>
    </row>
    <row r="34" spans="1:20" s="107" customFormat="1" ht="28.5" customHeight="1">
      <c r="A34" s="264">
        <v>21</v>
      </c>
      <c r="B34" s="810" t="s">
        <v>75</v>
      </c>
      <c r="C34" s="810"/>
      <c r="D34" s="810"/>
      <c r="E34" s="272">
        <v>1</v>
      </c>
      <c r="F34" s="264" t="s">
        <v>52</v>
      </c>
      <c r="G34" s="141">
        <f t="shared" si="0"/>
        <v>159780</v>
      </c>
      <c r="H34" s="284">
        <f t="shared" si="1"/>
        <v>159780</v>
      </c>
      <c r="I34" s="130"/>
      <c r="J34" s="284">
        <f t="shared" si="4"/>
        <v>0</v>
      </c>
      <c r="K34" s="285">
        <f t="shared" si="5"/>
        <v>159780</v>
      </c>
      <c r="L34" s="286"/>
      <c r="M34" s="150"/>
      <c r="N34" s="130">
        <v>175000</v>
      </c>
      <c r="O34" s="131">
        <v>133340</v>
      </c>
      <c r="P34" s="131">
        <v>180000</v>
      </c>
      <c r="Q34" s="130">
        <v>166000</v>
      </c>
      <c r="R34" s="170">
        <v>177600</v>
      </c>
    </row>
    <row r="35" spans="1:20" s="107" customFormat="1" ht="33.75" customHeight="1">
      <c r="A35" s="264"/>
      <c r="B35" s="793"/>
      <c r="C35" s="794"/>
      <c r="D35" s="795"/>
      <c r="E35" s="272"/>
      <c r="F35" s="264"/>
      <c r="G35" s="141"/>
      <c r="H35" s="284"/>
      <c r="I35" s="130"/>
      <c r="J35" s="284"/>
      <c r="K35" s="285"/>
      <c r="L35" s="316" t="s">
        <v>186</v>
      </c>
      <c r="M35" s="150"/>
      <c r="N35" s="130"/>
      <c r="O35" s="131"/>
      <c r="P35" s="131"/>
      <c r="Q35" s="130"/>
      <c r="R35" s="170"/>
    </row>
    <row r="36" spans="1:20" s="107" customFormat="1" ht="22.5" customHeight="1">
      <c r="A36" s="805" t="s">
        <v>3</v>
      </c>
      <c r="B36" s="805" t="s">
        <v>4</v>
      </c>
      <c r="C36" s="805"/>
      <c r="D36" s="805"/>
      <c r="E36" s="806" t="s">
        <v>11</v>
      </c>
      <c r="F36" s="805" t="s">
        <v>13</v>
      </c>
      <c r="G36" s="809" t="s">
        <v>18</v>
      </c>
      <c r="H36" s="809"/>
      <c r="I36" s="809" t="s">
        <v>15</v>
      </c>
      <c r="J36" s="809"/>
      <c r="K36" s="807" t="s">
        <v>17</v>
      </c>
      <c r="L36" s="805" t="s">
        <v>5</v>
      </c>
      <c r="M36" s="1"/>
      <c r="N36" s="808" t="s">
        <v>111</v>
      </c>
      <c r="O36" s="808"/>
      <c r="P36" s="808"/>
      <c r="Q36" s="808"/>
      <c r="R36" s="808"/>
    </row>
    <row r="37" spans="1:20" s="107" customFormat="1" ht="22.5" customHeight="1">
      <c r="A37" s="805"/>
      <c r="B37" s="805"/>
      <c r="C37" s="805"/>
      <c r="D37" s="805"/>
      <c r="E37" s="806"/>
      <c r="F37" s="805"/>
      <c r="G37" s="268" t="s">
        <v>24</v>
      </c>
      <c r="H37" s="268" t="s">
        <v>16</v>
      </c>
      <c r="I37" s="268" t="s">
        <v>24</v>
      </c>
      <c r="J37" s="268" t="s">
        <v>16</v>
      </c>
      <c r="K37" s="807"/>
      <c r="L37" s="805"/>
      <c r="M37" s="1"/>
      <c r="N37" s="145" t="s">
        <v>109</v>
      </c>
      <c r="O37" s="146" t="s">
        <v>121</v>
      </c>
      <c r="P37" s="146" t="s">
        <v>122</v>
      </c>
      <c r="Q37" s="146" t="s">
        <v>132</v>
      </c>
      <c r="R37" s="122"/>
    </row>
    <row r="38" spans="1:20" s="107" customFormat="1" ht="23.25" customHeight="1">
      <c r="A38" s="301"/>
      <c r="B38" s="302" t="s">
        <v>77</v>
      </c>
      <c r="C38" s="302"/>
      <c r="D38" s="302"/>
      <c r="E38" s="295"/>
      <c r="F38" s="296"/>
      <c r="G38" s="297"/>
      <c r="H38" s="298"/>
      <c r="I38" s="297"/>
      <c r="J38" s="298"/>
      <c r="K38" s="299"/>
      <c r="L38" s="296"/>
      <c r="M38" s="87"/>
      <c r="N38" s="125" t="s">
        <v>133</v>
      </c>
      <c r="O38" s="153" t="s">
        <v>135</v>
      </c>
      <c r="P38" s="153" t="s">
        <v>134</v>
      </c>
      <c r="Q38" s="153" t="s">
        <v>147</v>
      </c>
      <c r="R38" s="153" t="s">
        <v>148</v>
      </c>
    </row>
    <row r="39" spans="1:20" ht="18.75">
      <c r="A39" s="279">
        <v>22</v>
      </c>
      <c r="B39" s="276" t="s">
        <v>73</v>
      </c>
      <c r="C39" s="276"/>
      <c r="D39" s="276"/>
      <c r="E39" s="280">
        <v>7</v>
      </c>
      <c r="F39" s="279" t="s">
        <v>50</v>
      </c>
      <c r="G39" s="288">
        <f>AVERAGE(O39:Q39)</f>
        <v>9630</v>
      </c>
      <c r="H39" s="289">
        <f t="shared" ref="H39" si="6">SUM(G39)*$E39</f>
        <v>67410</v>
      </c>
      <c r="I39" s="289"/>
      <c r="J39" s="288">
        <f t="shared" ref="J39" si="7">SUM(I39)*$E39</f>
        <v>0</v>
      </c>
      <c r="K39" s="288">
        <f t="shared" ref="K39" si="8">SUM(,H39,J39)</f>
        <v>67410</v>
      </c>
      <c r="L39" s="290"/>
      <c r="M39" s="80"/>
      <c r="N39" s="148">
        <v>8000</v>
      </c>
      <c r="O39" s="139">
        <v>10000</v>
      </c>
      <c r="P39" s="139">
        <v>8890</v>
      </c>
      <c r="Q39" s="139">
        <v>10000</v>
      </c>
      <c r="R39" s="139">
        <v>10700</v>
      </c>
    </row>
    <row r="40" spans="1:20" s="107" customFormat="1" ht="24.75" customHeight="1">
      <c r="A40" s="292"/>
      <c r="B40" s="294" t="s">
        <v>91</v>
      </c>
      <c r="C40" s="294"/>
      <c r="D40" s="294"/>
      <c r="E40" s="295"/>
      <c r="F40" s="296"/>
      <c r="G40" s="297"/>
      <c r="H40" s="298"/>
      <c r="I40" s="298"/>
      <c r="J40" s="298"/>
      <c r="K40" s="299"/>
      <c r="L40" s="300"/>
      <c r="M40" s="87"/>
      <c r="N40" s="125" t="s">
        <v>133</v>
      </c>
      <c r="O40" s="153" t="s">
        <v>135</v>
      </c>
      <c r="P40" s="153" t="s">
        <v>134</v>
      </c>
      <c r="Q40" s="153" t="s">
        <v>147</v>
      </c>
      <c r="R40" s="153" t="s">
        <v>148</v>
      </c>
    </row>
    <row r="41" spans="1:20" s="107" customFormat="1" ht="22.5" customHeight="1">
      <c r="A41" s="279">
        <v>23</v>
      </c>
      <c r="B41" s="276" t="s">
        <v>78</v>
      </c>
      <c r="C41" s="276"/>
      <c r="D41" s="276"/>
      <c r="E41" s="127">
        <v>1</v>
      </c>
      <c r="F41" s="275" t="s">
        <v>50</v>
      </c>
      <c r="G41" s="127">
        <f t="shared" ref="G41:G47" si="9">AVERAGE(O41:Q41)</f>
        <v>113816.66666666667</v>
      </c>
      <c r="H41" s="277">
        <f t="shared" ref="H41:H47" si="10">SUM(G41)*$E41</f>
        <v>113816.66666666667</v>
      </c>
      <c r="I41" s="127"/>
      <c r="J41" s="278">
        <f t="shared" ref="J41:J47" si="11">SUM(I41)*$E41</f>
        <v>0</v>
      </c>
      <c r="K41" s="278">
        <f t="shared" ref="K41:K47" si="12">SUM(,H41,J41)</f>
        <v>113816.66666666667</v>
      </c>
      <c r="L41" s="275"/>
      <c r="M41" s="108"/>
      <c r="N41" s="135">
        <v>108100</v>
      </c>
      <c r="O41" s="154">
        <v>130000</v>
      </c>
      <c r="P41" s="154">
        <v>69450</v>
      </c>
      <c r="Q41" s="129">
        <v>142000</v>
      </c>
      <c r="R41" s="128">
        <v>151900</v>
      </c>
      <c r="T41"/>
    </row>
    <row r="42" spans="1:20" s="107" customFormat="1" ht="22.5" customHeight="1">
      <c r="A42" s="279">
        <v>24</v>
      </c>
      <c r="B42" s="276" t="s">
        <v>88</v>
      </c>
      <c r="C42" s="276"/>
      <c r="D42" s="276"/>
      <c r="E42" s="127">
        <v>1</v>
      </c>
      <c r="F42" s="275" t="s">
        <v>52</v>
      </c>
      <c r="G42" s="127">
        <f t="shared" si="9"/>
        <v>363706.66666666669</v>
      </c>
      <c r="H42" s="277">
        <f t="shared" si="10"/>
        <v>363706.66666666669</v>
      </c>
      <c r="I42" s="127"/>
      <c r="J42" s="278">
        <f t="shared" si="11"/>
        <v>0</v>
      </c>
      <c r="K42" s="278">
        <f t="shared" si="12"/>
        <v>363706.66666666669</v>
      </c>
      <c r="L42" s="275"/>
      <c r="M42" s="108"/>
      <c r="N42" s="135">
        <v>555000</v>
      </c>
      <c r="O42" s="154">
        <v>390000</v>
      </c>
      <c r="P42" s="154">
        <v>311120</v>
      </c>
      <c r="Q42" s="129">
        <v>390000</v>
      </c>
      <c r="R42" s="128">
        <v>417300</v>
      </c>
      <c r="T42"/>
    </row>
    <row r="43" spans="1:20" s="107" customFormat="1" ht="22.5" customHeight="1">
      <c r="A43" s="279">
        <v>25</v>
      </c>
      <c r="B43" s="143" t="s">
        <v>79</v>
      </c>
      <c r="C43" s="143"/>
      <c r="D43" s="143"/>
      <c r="E43" s="272">
        <v>1</v>
      </c>
      <c r="F43" s="275" t="s">
        <v>50</v>
      </c>
      <c r="G43" s="127">
        <f t="shared" si="9"/>
        <v>36796.666666666664</v>
      </c>
      <c r="H43" s="291">
        <f t="shared" si="10"/>
        <v>36796.666666666664</v>
      </c>
      <c r="I43" s="125"/>
      <c r="J43" s="278">
        <f t="shared" si="11"/>
        <v>0</v>
      </c>
      <c r="K43" s="278">
        <f t="shared" si="12"/>
        <v>36796.666666666664</v>
      </c>
      <c r="L43" s="264"/>
      <c r="M43" s="1"/>
      <c r="N43" s="136">
        <v>27000</v>
      </c>
      <c r="O43" s="155">
        <v>33000</v>
      </c>
      <c r="P43" s="155">
        <v>28890</v>
      </c>
      <c r="Q43" s="134">
        <v>48500</v>
      </c>
      <c r="R43" s="126">
        <v>51900</v>
      </c>
      <c r="T43"/>
    </row>
    <row r="44" spans="1:20" s="107" customFormat="1" ht="22.5" customHeight="1">
      <c r="A44" s="279">
        <v>26</v>
      </c>
      <c r="B44" s="143" t="s">
        <v>80</v>
      </c>
      <c r="C44" s="143"/>
      <c r="D44" s="143"/>
      <c r="E44" s="272">
        <v>1</v>
      </c>
      <c r="F44" s="264" t="s">
        <v>52</v>
      </c>
      <c r="G44" s="127">
        <f t="shared" si="9"/>
        <v>20593.333333333332</v>
      </c>
      <c r="H44" s="291">
        <f t="shared" si="10"/>
        <v>20593.333333333332</v>
      </c>
      <c r="I44" s="125"/>
      <c r="J44" s="278">
        <f t="shared" si="11"/>
        <v>0</v>
      </c>
      <c r="K44" s="278">
        <f t="shared" si="12"/>
        <v>20593.333333333332</v>
      </c>
      <c r="L44" s="264"/>
      <c r="M44" s="1"/>
      <c r="N44" s="136">
        <v>19000</v>
      </c>
      <c r="O44" s="155">
        <v>22000</v>
      </c>
      <c r="P44" s="155">
        <v>17780</v>
      </c>
      <c r="Q44" s="134">
        <v>22000</v>
      </c>
      <c r="R44" s="126">
        <v>23500</v>
      </c>
      <c r="T44"/>
    </row>
    <row r="45" spans="1:20" s="107" customFormat="1" ht="22.5" customHeight="1">
      <c r="A45" s="279">
        <v>27</v>
      </c>
      <c r="B45" s="143" t="s">
        <v>68</v>
      </c>
      <c r="C45" s="271"/>
      <c r="D45" s="271"/>
      <c r="E45" s="272">
        <v>1</v>
      </c>
      <c r="F45" s="264" t="s">
        <v>52</v>
      </c>
      <c r="G45" s="127">
        <f t="shared" si="9"/>
        <v>13446.666666666666</v>
      </c>
      <c r="H45" s="291">
        <f t="shared" si="10"/>
        <v>13446.666666666666</v>
      </c>
      <c r="I45" s="125"/>
      <c r="J45" s="278">
        <f t="shared" si="11"/>
        <v>0</v>
      </c>
      <c r="K45" s="278">
        <f t="shared" si="12"/>
        <v>13446.666666666666</v>
      </c>
      <c r="L45" s="264"/>
      <c r="M45" s="1"/>
      <c r="N45" s="136">
        <v>8000</v>
      </c>
      <c r="O45" s="155">
        <v>13000</v>
      </c>
      <c r="P45" s="155">
        <v>13340</v>
      </c>
      <c r="Q45" s="134">
        <v>14000</v>
      </c>
      <c r="R45" s="126">
        <v>1500</v>
      </c>
      <c r="T45"/>
    </row>
    <row r="46" spans="1:20" s="107" customFormat="1" ht="22.5" customHeight="1">
      <c r="A46" s="279">
        <v>28</v>
      </c>
      <c r="B46" s="143" t="s">
        <v>81</v>
      </c>
      <c r="C46" s="143"/>
      <c r="D46" s="143"/>
      <c r="E46" s="272">
        <v>1</v>
      </c>
      <c r="F46" s="264" t="s">
        <v>50</v>
      </c>
      <c r="G46" s="127">
        <f t="shared" si="9"/>
        <v>40296.666666666664</v>
      </c>
      <c r="H46" s="291">
        <f t="shared" si="10"/>
        <v>40296.666666666664</v>
      </c>
      <c r="I46" s="125"/>
      <c r="J46" s="278">
        <f t="shared" si="11"/>
        <v>0</v>
      </c>
      <c r="K46" s="278">
        <f t="shared" si="12"/>
        <v>40296.666666666664</v>
      </c>
      <c r="L46" s="264"/>
      <c r="M46" s="1"/>
      <c r="N46" s="136">
        <v>45000</v>
      </c>
      <c r="O46" s="155">
        <v>32000</v>
      </c>
      <c r="P46" s="155">
        <v>38890</v>
      </c>
      <c r="Q46" s="134">
        <v>50000</v>
      </c>
      <c r="R46" s="126">
        <v>53500</v>
      </c>
      <c r="T46"/>
    </row>
    <row r="47" spans="1:20" s="107" customFormat="1" ht="22.5" customHeight="1">
      <c r="A47" s="279">
        <v>29</v>
      </c>
      <c r="B47" s="762" t="s">
        <v>53</v>
      </c>
      <c r="C47" s="763"/>
      <c r="D47" s="764"/>
      <c r="E47" s="272">
        <v>1</v>
      </c>
      <c r="F47" s="264" t="s">
        <v>51</v>
      </c>
      <c r="G47" s="127">
        <f t="shared" si="9"/>
        <v>4593.333333333333</v>
      </c>
      <c r="H47" s="291">
        <f t="shared" si="10"/>
        <v>4593.333333333333</v>
      </c>
      <c r="I47" s="125"/>
      <c r="J47" s="278">
        <f t="shared" si="11"/>
        <v>0</v>
      </c>
      <c r="K47" s="278">
        <f t="shared" si="12"/>
        <v>4593.333333333333</v>
      </c>
      <c r="L47" s="264"/>
      <c r="M47" s="1"/>
      <c r="N47" s="136">
        <v>5000</v>
      </c>
      <c r="O47" s="155">
        <v>4000</v>
      </c>
      <c r="P47" s="155">
        <v>2780</v>
      </c>
      <c r="Q47" s="134">
        <v>7000</v>
      </c>
      <c r="R47" s="126">
        <v>7500</v>
      </c>
      <c r="T47"/>
    </row>
    <row r="48" spans="1:20" ht="21.75" customHeight="1">
      <c r="A48" s="292"/>
      <c r="B48" s="294" t="s">
        <v>105</v>
      </c>
      <c r="C48" s="294"/>
      <c r="D48" s="294"/>
      <c r="E48" s="295"/>
      <c r="F48" s="296"/>
      <c r="G48" s="297"/>
      <c r="H48" s="298"/>
      <c r="I48" s="298"/>
      <c r="J48" s="298"/>
      <c r="K48" s="299"/>
      <c r="L48" s="300"/>
      <c r="M48" s="87"/>
      <c r="N48" s="125" t="s">
        <v>133</v>
      </c>
      <c r="O48" s="153" t="s">
        <v>135</v>
      </c>
      <c r="P48" s="153" t="s">
        <v>134</v>
      </c>
      <c r="Q48" s="153" t="s">
        <v>147</v>
      </c>
      <c r="R48" s="153" t="s">
        <v>148</v>
      </c>
      <c r="S48" s="1"/>
    </row>
    <row r="49" spans="1:22" ht="26.25" customHeight="1">
      <c r="A49" s="279">
        <v>30</v>
      </c>
      <c r="B49" s="276" t="s">
        <v>82</v>
      </c>
      <c r="C49" s="276"/>
      <c r="D49" s="276"/>
      <c r="E49" s="280">
        <v>1</v>
      </c>
      <c r="F49" s="279" t="s">
        <v>50</v>
      </c>
      <c r="G49" s="280">
        <f t="shared" ref="G49:G55" si="13">AVERAGE(O49:Q49)</f>
        <v>112780</v>
      </c>
      <c r="H49" s="289">
        <f t="shared" ref="H49:H55" si="14">SUM(G49)*$E49</f>
        <v>112780</v>
      </c>
      <c r="I49" s="280"/>
      <c r="J49" s="288">
        <f t="shared" ref="J49:J55" si="15">SUM(I49)*$E49</f>
        <v>0</v>
      </c>
      <c r="K49" s="288">
        <f t="shared" ref="K49:K55" si="16">SUM(,H49,J49)</f>
        <v>112780</v>
      </c>
      <c r="L49" s="275"/>
      <c r="M49" s="108"/>
      <c r="N49" s="141">
        <v>130000</v>
      </c>
      <c r="O49" s="148">
        <v>140000</v>
      </c>
      <c r="P49" s="154">
        <v>48340</v>
      </c>
      <c r="Q49" s="139">
        <v>150000</v>
      </c>
      <c r="R49" s="128">
        <v>160500</v>
      </c>
      <c r="S49" s="108"/>
    </row>
    <row r="50" spans="1:22" ht="26.25" customHeight="1">
      <c r="A50" s="279">
        <v>31</v>
      </c>
      <c r="B50" s="276" t="s">
        <v>83</v>
      </c>
      <c r="C50" s="276"/>
      <c r="D50" s="276"/>
      <c r="E50" s="280">
        <v>1</v>
      </c>
      <c r="F50" s="279" t="s">
        <v>50</v>
      </c>
      <c r="G50" s="280">
        <f t="shared" si="13"/>
        <v>286666.66666666669</v>
      </c>
      <c r="H50" s="289">
        <f t="shared" si="14"/>
        <v>286666.66666666669</v>
      </c>
      <c r="I50" s="280"/>
      <c r="J50" s="288">
        <f t="shared" si="15"/>
        <v>0</v>
      </c>
      <c r="K50" s="288">
        <f t="shared" si="16"/>
        <v>286666.66666666669</v>
      </c>
      <c r="L50" s="275"/>
      <c r="M50" s="108"/>
      <c r="N50" s="141">
        <v>310000</v>
      </c>
      <c r="O50" s="148">
        <v>303000</v>
      </c>
      <c r="P50" s="154">
        <v>200000</v>
      </c>
      <c r="Q50" s="139">
        <v>357000</v>
      </c>
      <c r="R50" s="128">
        <v>382000</v>
      </c>
      <c r="S50" s="108"/>
    </row>
    <row r="51" spans="1:22" ht="26.25" customHeight="1">
      <c r="A51" s="279">
        <v>32</v>
      </c>
      <c r="B51" s="143" t="s">
        <v>92</v>
      </c>
      <c r="C51" s="143"/>
      <c r="D51" s="143"/>
      <c r="E51" s="272">
        <v>1</v>
      </c>
      <c r="F51" s="279" t="s">
        <v>50</v>
      </c>
      <c r="G51" s="280">
        <f t="shared" si="13"/>
        <v>25393.333333333332</v>
      </c>
      <c r="H51" s="273">
        <f t="shared" si="14"/>
        <v>25393.333333333332</v>
      </c>
      <c r="I51" s="125"/>
      <c r="J51" s="288">
        <f t="shared" si="15"/>
        <v>0</v>
      </c>
      <c r="K51" s="288">
        <f t="shared" si="16"/>
        <v>25393.333333333332</v>
      </c>
      <c r="L51" s="264"/>
      <c r="M51" s="1"/>
      <c r="N51" s="136">
        <v>19000</v>
      </c>
      <c r="O51" s="155">
        <v>22000</v>
      </c>
      <c r="P51" s="155">
        <v>17780</v>
      </c>
      <c r="Q51" s="144">
        <v>36400</v>
      </c>
      <c r="R51" s="126">
        <v>38900</v>
      </c>
      <c r="S51" s="1"/>
    </row>
    <row r="52" spans="1:22" ht="26.25" customHeight="1">
      <c r="A52" s="279">
        <v>33</v>
      </c>
      <c r="B52" s="143" t="s">
        <v>84</v>
      </c>
      <c r="C52" s="143"/>
      <c r="D52" s="143"/>
      <c r="E52" s="272">
        <v>6</v>
      </c>
      <c r="F52" s="264" t="s">
        <v>52</v>
      </c>
      <c r="G52" s="280">
        <f t="shared" si="13"/>
        <v>18186.666666666668</v>
      </c>
      <c r="H52" s="273">
        <f t="shared" si="14"/>
        <v>109120</v>
      </c>
      <c r="I52" s="125"/>
      <c r="J52" s="288">
        <f t="shared" si="15"/>
        <v>0</v>
      </c>
      <c r="K52" s="288">
        <f t="shared" si="16"/>
        <v>109120</v>
      </c>
      <c r="L52" s="264"/>
      <c r="M52" s="1"/>
      <c r="N52" s="136">
        <v>12000</v>
      </c>
      <c r="O52" s="155">
        <v>23000</v>
      </c>
      <c r="P52" s="155">
        <v>15560</v>
      </c>
      <c r="Q52" s="144">
        <v>16000</v>
      </c>
      <c r="R52" s="126">
        <v>17100</v>
      </c>
      <c r="S52" s="1"/>
    </row>
    <row r="53" spans="1:22" ht="26.25" customHeight="1">
      <c r="A53" s="279">
        <v>34</v>
      </c>
      <c r="B53" s="305" t="s">
        <v>85</v>
      </c>
      <c r="C53" s="306"/>
      <c r="D53" s="306"/>
      <c r="E53" s="272">
        <v>1</v>
      </c>
      <c r="F53" s="264" t="s">
        <v>52</v>
      </c>
      <c r="G53" s="280">
        <f t="shared" si="13"/>
        <v>431113.33333333331</v>
      </c>
      <c r="H53" s="273">
        <f t="shared" si="14"/>
        <v>431113.33333333331</v>
      </c>
      <c r="I53" s="125"/>
      <c r="J53" s="288">
        <f t="shared" si="15"/>
        <v>0</v>
      </c>
      <c r="K53" s="288">
        <f t="shared" si="16"/>
        <v>431113.33333333331</v>
      </c>
      <c r="L53" s="264"/>
      <c r="M53" s="1"/>
      <c r="N53" s="136">
        <v>540000</v>
      </c>
      <c r="O53" s="155">
        <v>380000</v>
      </c>
      <c r="P53" s="155">
        <v>433340</v>
      </c>
      <c r="Q53" s="144">
        <v>480000</v>
      </c>
      <c r="R53" s="126">
        <v>513600</v>
      </c>
      <c r="S53" s="1"/>
    </row>
    <row r="54" spans="1:22" ht="26.25" customHeight="1">
      <c r="A54" s="303">
        <v>35</v>
      </c>
      <c r="B54" s="810" t="s">
        <v>53</v>
      </c>
      <c r="C54" s="810"/>
      <c r="D54" s="810"/>
      <c r="E54" s="304">
        <v>6</v>
      </c>
      <c r="F54" s="264" t="s">
        <v>51</v>
      </c>
      <c r="G54" s="280">
        <f t="shared" si="13"/>
        <v>5333.333333333333</v>
      </c>
      <c r="H54" s="273">
        <f t="shared" si="14"/>
        <v>32000</v>
      </c>
      <c r="I54" s="125"/>
      <c r="J54" s="288">
        <f t="shared" si="15"/>
        <v>0</v>
      </c>
      <c r="K54" s="288">
        <f t="shared" si="16"/>
        <v>32000</v>
      </c>
      <c r="L54" s="264"/>
      <c r="M54" s="1"/>
      <c r="N54" s="142">
        <v>5000</v>
      </c>
      <c r="O54" s="155">
        <v>4000</v>
      </c>
      <c r="P54" s="155">
        <v>5000</v>
      </c>
      <c r="Q54" s="144">
        <v>7000</v>
      </c>
      <c r="R54" s="126">
        <v>7500</v>
      </c>
      <c r="S54" s="1"/>
    </row>
    <row r="55" spans="1:22" ht="26.25" customHeight="1">
      <c r="A55" s="303">
        <v>36</v>
      </c>
      <c r="B55" s="810" t="s">
        <v>59</v>
      </c>
      <c r="C55" s="810"/>
      <c r="D55" s="810"/>
      <c r="E55" s="304">
        <v>1</v>
      </c>
      <c r="F55" s="264" t="s">
        <v>51</v>
      </c>
      <c r="G55" s="280">
        <f t="shared" si="13"/>
        <v>5630</v>
      </c>
      <c r="H55" s="273">
        <f t="shared" si="14"/>
        <v>5630</v>
      </c>
      <c r="I55" s="125"/>
      <c r="J55" s="288">
        <f t="shared" si="15"/>
        <v>0</v>
      </c>
      <c r="K55" s="288">
        <f t="shared" si="16"/>
        <v>5630</v>
      </c>
      <c r="L55" s="264"/>
      <c r="M55" s="1"/>
      <c r="N55" s="136">
        <v>5000</v>
      </c>
      <c r="O55" s="155">
        <v>6000</v>
      </c>
      <c r="P55" s="155">
        <v>3890</v>
      </c>
      <c r="Q55" s="144">
        <v>7000</v>
      </c>
      <c r="R55" s="126">
        <v>7900</v>
      </c>
      <c r="S55" s="1"/>
    </row>
    <row r="56" spans="1:22" ht="21" customHeight="1">
      <c r="A56" s="292"/>
      <c r="B56" s="294" t="s">
        <v>104</v>
      </c>
      <c r="C56" s="294"/>
      <c r="D56" s="294"/>
      <c r="E56" s="295"/>
      <c r="F56" s="296"/>
      <c r="G56" s="297"/>
      <c r="H56" s="298"/>
      <c r="I56" s="298"/>
      <c r="J56" s="298"/>
      <c r="K56" s="299"/>
      <c r="L56" s="300"/>
      <c r="M56" s="87"/>
      <c r="N56" s="125" t="s">
        <v>133</v>
      </c>
      <c r="O56" s="153" t="s">
        <v>135</v>
      </c>
      <c r="P56" s="153" t="s">
        <v>134</v>
      </c>
      <c r="Q56" s="153" t="s">
        <v>147</v>
      </c>
      <c r="R56" s="153" t="s">
        <v>148</v>
      </c>
      <c r="S56" s="1"/>
    </row>
    <row r="57" spans="1:22" s="107" customFormat="1" ht="24.75" customHeight="1">
      <c r="A57" s="279">
        <v>37</v>
      </c>
      <c r="B57" s="276" t="s">
        <v>80</v>
      </c>
      <c r="C57" s="276"/>
      <c r="D57" s="276"/>
      <c r="E57" s="280">
        <v>1</v>
      </c>
      <c r="F57" s="279" t="s">
        <v>52</v>
      </c>
      <c r="G57" s="280">
        <f>AVERAGE(O57:Q57)</f>
        <v>20593.333333333332</v>
      </c>
      <c r="H57" s="289">
        <f t="shared" ref="H57:H59" si="17">SUM(G57)*$E57</f>
        <v>20593.333333333332</v>
      </c>
      <c r="I57" s="280"/>
      <c r="J57" s="288">
        <f t="shared" ref="J57:J59" si="18">SUM(I57)*$E57</f>
        <v>0</v>
      </c>
      <c r="K57" s="288">
        <f t="shared" ref="K57:K59" si="19">SUM(,H57,J57)</f>
        <v>20593.333333333332</v>
      </c>
      <c r="L57" s="279"/>
      <c r="M57" s="80"/>
      <c r="N57" s="141">
        <v>19000</v>
      </c>
      <c r="O57" s="141">
        <v>22000</v>
      </c>
      <c r="P57" s="148">
        <v>17780</v>
      </c>
      <c r="Q57" s="141">
        <v>22000</v>
      </c>
      <c r="R57" s="139">
        <v>23500</v>
      </c>
      <c r="S57"/>
      <c r="T57"/>
    </row>
    <row r="58" spans="1:22" ht="24.75" customHeight="1">
      <c r="A58" s="279">
        <v>38</v>
      </c>
      <c r="B58" s="276" t="s">
        <v>86</v>
      </c>
      <c r="C58" s="276"/>
      <c r="D58" s="276"/>
      <c r="E58" s="280">
        <v>1</v>
      </c>
      <c r="F58" s="279" t="s">
        <v>52</v>
      </c>
      <c r="G58" s="280">
        <f>AVERAGE(O58:Q58)</f>
        <v>24000</v>
      </c>
      <c r="H58" s="289">
        <f t="shared" si="17"/>
        <v>24000</v>
      </c>
      <c r="I58" s="280"/>
      <c r="J58" s="288">
        <f t="shared" si="18"/>
        <v>0</v>
      </c>
      <c r="K58" s="288">
        <f t="shared" si="19"/>
        <v>24000</v>
      </c>
      <c r="L58" s="279"/>
      <c r="M58" s="80"/>
      <c r="N58" s="141">
        <v>21000</v>
      </c>
      <c r="O58" s="141">
        <v>25000</v>
      </c>
      <c r="P58" s="148">
        <v>20000</v>
      </c>
      <c r="Q58" s="141">
        <v>27000</v>
      </c>
      <c r="R58" s="139">
        <v>28900</v>
      </c>
    </row>
    <row r="59" spans="1:22" ht="24.75" customHeight="1">
      <c r="A59" s="264">
        <v>39</v>
      </c>
      <c r="B59" s="143" t="s">
        <v>68</v>
      </c>
      <c r="C59" s="143"/>
      <c r="D59" s="143"/>
      <c r="E59" s="272">
        <v>1</v>
      </c>
      <c r="F59" s="279" t="s">
        <v>52</v>
      </c>
      <c r="G59" s="280">
        <f>AVERAGE(O59:Q59)</f>
        <v>13446.666666666666</v>
      </c>
      <c r="H59" s="273">
        <f t="shared" si="17"/>
        <v>13446.666666666666</v>
      </c>
      <c r="I59" s="125"/>
      <c r="J59" s="288">
        <f t="shared" si="18"/>
        <v>0</v>
      </c>
      <c r="K59" s="288">
        <f t="shared" si="19"/>
        <v>13446.666666666666</v>
      </c>
      <c r="L59" s="264"/>
      <c r="M59" s="1"/>
      <c r="N59" s="136">
        <v>8000</v>
      </c>
      <c r="O59" s="136">
        <v>13000</v>
      </c>
      <c r="P59" s="172">
        <v>13340</v>
      </c>
      <c r="Q59" s="136">
        <v>14000</v>
      </c>
      <c r="R59" s="134">
        <v>15000</v>
      </c>
    </row>
    <row r="60" spans="1:22" ht="34.5" customHeight="1">
      <c r="L60" s="316" t="s">
        <v>185</v>
      </c>
    </row>
    <row r="61" spans="1:22" ht="21">
      <c r="A61" s="805" t="s">
        <v>3</v>
      </c>
      <c r="B61" s="805" t="s">
        <v>4</v>
      </c>
      <c r="C61" s="805"/>
      <c r="D61" s="805"/>
      <c r="E61" s="806" t="s">
        <v>11</v>
      </c>
      <c r="F61" s="805" t="s">
        <v>13</v>
      </c>
      <c r="G61" s="809" t="s">
        <v>18</v>
      </c>
      <c r="H61" s="809"/>
      <c r="I61" s="809" t="s">
        <v>15</v>
      </c>
      <c r="J61" s="809"/>
      <c r="K61" s="807" t="s">
        <v>17</v>
      </c>
      <c r="L61" s="805" t="s">
        <v>5</v>
      </c>
      <c r="N61" s="307" t="s">
        <v>111</v>
      </c>
      <c r="O61" s="308"/>
      <c r="P61" s="308"/>
      <c r="Q61" s="308"/>
      <c r="R61" s="308"/>
      <c r="S61" s="308"/>
      <c r="T61" s="308"/>
      <c r="U61" s="308"/>
      <c r="V61" s="309"/>
    </row>
    <row r="62" spans="1:22" ht="21.75">
      <c r="A62" s="805"/>
      <c r="B62" s="805"/>
      <c r="C62" s="805"/>
      <c r="D62" s="805"/>
      <c r="E62" s="806"/>
      <c r="F62" s="805"/>
      <c r="G62" s="268" t="s">
        <v>24</v>
      </c>
      <c r="H62" s="268" t="s">
        <v>16</v>
      </c>
      <c r="I62" s="268" t="s">
        <v>24</v>
      </c>
      <c r="J62" s="268" t="s">
        <v>16</v>
      </c>
      <c r="K62" s="807"/>
      <c r="L62" s="805"/>
      <c r="N62" s="146" t="s">
        <v>132</v>
      </c>
      <c r="O62" s="126" t="s">
        <v>149</v>
      </c>
      <c r="P62" s="122"/>
      <c r="Q62" s="122"/>
      <c r="R62" s="122"/>
      <c r="S62" s="122"/>
      <c r="T62" s="122"/>
      <c r="U62" s="122"/>
      <c r="V62" s="122"/>
    </row>
    <row r="63" spans="1:22" ht="18.75">
      <c r="A63" s="270"/>
      <c r="B63" s="816" t="s">
        <v>194</v>
      </c>
      <c r="C63" s="817"/>
      <c r="D63" s="818"/>
      <c r="E63" s="272"/>
      <c r="F63" s="264"/>
      <c r="G63" s="125"/>
      <c r="H63" s="273"/>
      <c r="I63" s="273"/>
      <c r="J63" s="273"/>
      <c r="K63" s="274"/>
      <c r="L63" s="37"/>
      <c r="N63" s="153" t="s">
        <v>147</v>
      </c>
      <c r="O63" s="153" t="s">
        <v>148</v>
      </c>
      <c r="P63" s="123"/>
      <c r="Q63" s="123"/>
      <c r="R63" s="123"/>
      <c r="S63" s="123"/>
      <c r="T63" s="123"/>
      <c r="U63" s="123"/>
      <c r="V63" s="123"/>
    </row>
    <row r="64" spans="1:22" ht="25.5" customHeight="1">
      <c r="A64" s="264">
        <v>1</v>
      </c>
      <c r="B64" s="287" t="s">
        <v>112</v>
      </c>
      <c r="C64" s="287"/>
      <c r="D64" s="287"/>
      <c r="E64" s="272">
        <v>1</v>
      </c>
      <c r="F64" s="264" t="s">
        <v>50</v>
      </c>
      <c r="G64" s="272">
        <f>AVERAGE(N64:P64)</f>
        <v>1425466.6666666667</v>
      </c>
      <c r="H64" s="310">
        <f>SUM(G64)*$E64</f>
        <v>1425466.6666666667</v>
      </c>
      <c r="I64" s="272"/>
      <c r="J64" s="310"/>
      <c r="K64" s="311">
        <f t="shared" ref="K64:K72" si="20">SUM(,H64,J64)</f>
        <v>1425466.6666666667</v>
      </c>
      <c r="L64" s="264"/>
      <c r="M64" s="109"/>
      <c r="N64" s="137">
        <v>1148000</v>
      </c>
      <c r="O64" s="137">
        <v>1228400</v>
      </c>
      <c r="P64" s="173">
        <v>1900000</v>
      </c>
      <c r="Q64" s="174" t="s">
        <v>123</v>
      </c>
      <c r="R64" s="173">
        <v>2000000</v>
      </c>
      <c r="S64" s="156" t="s">
        <v>124</v>
      </c>
      <c r="T64" s="137"/>
      <c r="U64" s="124"/>
      <c r="V64" s="124"/>
    </row>
    <row r="65" spans="1:22" ht="25.5" customHeight="1">
      <c r="A65" s="264">
        <v>2</v>
      </c>
      <c r="B65" s="762" t="s">
        <v>113</v>
      </c>
      <c r="C65" s="763"/>
      <c r="D65" s="764"/>
      <c r="E65" s="272">
        <v>1</v>
      </c>
      <c r="F65" s="264" t="s">
        <v>116</v>
      </c>
      <c r="G65" s="272">
        <f>AVERAGE(N65:O65,R65)</f>
        <v>153200</v>
      </c>
      <c r="H65" s="310">
        <f>SUM(G65)*$E65</f>
        <v>153200</v>
      </c>
      <c r="I65" s="272"/>
      <c r="J65" s="310"/>
      <c r="K65" s="311">
        <f t="shared" si="20"/>
        <v>153200</v>
      </c>
      <c r="L65" s="264"/>
      <c r="M65" s="107"/>
      <c r="N65" s="137">
        <v>160000</v>
      </c>
      <c r="O65" s="137">
        <v>171200</v>
      </c>
      <c r="P65" s="173">
        <v>370701.5</v>
      </c>
      <c r="Q65" s="175" t="s">
        <v>125</v>
      </c>
      <c r="R65" s="173">
        <v>128400</v>
      </c>
      <c r="S65" s="157" t="s">
        <v>126</v>
      </c>
      <c r="T65" s="137"/>
      <c r="U65" s="158"/>
      <c r="V65" s="124"/>
    </row>
    <row r="66" spans="1:22" ht="25.5" customHeight="1">
      <c r="A66" s="264">
        <v>3</v>
      </c>
      <c r="B66" s="287" t="s">
        <v>181</v>
      </c>
      <c r="C66" s="287"/>
      <c r="D66" s="287"/>
      <c r="E66" s="272">
        <v>1</v>
      </c>
      <c r="F66" s="264" t="s">
        <v>50</v>
      </c>
      <c r="G66" s="272">
        <f>AVERAGE(N66:P66)</f>
        <v>8533.3333333333339</v>
      </c>
      <c r="H66" s="310">
        <f>SUM(G66)</f>
        <v>8533.3333333333339</v>
      </c>
      <c r="I66" s="272"/>
      <c r="J66" s="310"/>
      <c r="K66" s="311">
        <f t="shared" si="20"/>
        <v>8533.3333333333339</v>
      </c>
      <c r="L66" s="264"/>
      <c r="M66" s="107"/>
      <c r="N66" s="137">
        <v>8000</v>
      </c>
      <c r="O66" s="137">
        <v>8600</v>
      </c>
      <c r="P66" s="173">
        <f>90*100</f>
        <v>9000</v>
      </c>
      <c r="Q66" s="156" t="s">
        <v>136</v>
      </c>
      <c r="R66" s="124"/>
      <c r="S66" s="124"/>
      <c r="T66" s="137"/>
      <c r="U66" s="158"/>
      <c r="V66" s="124"/>
    </row>
    <row r="67" spans="1:22" ht="25.5" customHeight="1">
      <c r="A67" s="264">
        <v>4</v>
      </c>
      <c r="B67" s="287" t="s">
        <v>114</v>
      </c>
      <c r="C67" s="287"/>
      <c r="D67" s="287"/>
      <c r="E67" s="272">
        <v>1</v>
      </c>
      <c r="F67" s="264" t="s">
        <v>50</v>
      </c>
      <c r="G67" s="272">
        <f>AVERAGE(N67,P67,R67)</f>
        <v>33866.666666666664</v>
      </c>
      <c r="H67" s="310">
        <f t="shared" ref="H67:H72" si="21">SUM(G67)*$E67</f>
        <v>33866.666666666664</v>
      </c>
      <c r="I67" s="272"/>
      <c r="J67" s="310"/>
      <c r="K67" s="311">
        <f t="shared" si="20"/>
        <v>33866.666666666664</v>
      </c>
      <c r="L67" s="264"/>
      <c r="M67" s="107"/>
      <c r="N67" s="137">
        <v>48800</v>
      </c>
      <c r="O67" s="137">
        <v>51400</v>
      </c>
      <c r="P67" s="130">
        <v>30000</v>
      </c>
      <c r="Q67" s="175" t="s">
        <v>127</v>
      </c>
      <c r="R67" s="176">
        <f>11400+11400</f>
        <v>22800</v>
      </c>
      <c r="S67" s="156" t="s">
        <v>136</v>
      </c>
      <c r="T67" s="137">
        <f>28650*2</f>
        <v>57300</v>
      </c>
      <c r="U67" s="156" t="s">
        <v>146</v>
      </c>
      <c r="V67" s="124"/>
    </row>
    <row r="68" spans="1:22" ht="25.5" customHeight="1">
      <c r="A68" s="264">
        <v>5</v>
      </c>
      <c r="B68" s="287" t="s">
        <v>115</v>
      </c>
      <c r="C68" s="287"/>
      <c r="D68" s="287"/>
      <c r="E68" s="272">
        <v>1</v>
      </c>
      <c r="F68" s="264" t="s">
        <v>50</v>
      </c>
      <c r="G68" s="272">
        <f>AVERAGE(N68,P68,R68)</f>
        <v>27600</v>
      </c>
      <c r="H68" s="310">
        <f t="shared" si="21"/>
        <v>27600</v>
      </c>
      <c r="I68" s="272"/>
      <c r="J68" s="310"/>
      <c r="K68" s="311">
        <f t="shared" si="20"/>
        <v>27600</v>
      </c>
      <c r="L68" s="264"/>
      <c r="M68" s="107"/>
      <c r="N68" s="137">
        <v>40000</v>
      </c>
      <c r="O68" s="137">
        <v>42800</v>
      </c>
      <c r="P68" s="130">
        <v>25000</v>
      </c>
      <c r="Q68" s="175" t="s">
        <v>128</v>
      </c>
      <c r="R68" s="173">
        <f>3300+3300+3300+3300+3300+1300</f>
        <v>17800</v>
      </c>
      <c r="S68" s="156" t="s">
        <v>136</v>
      </c>
      <c r="T68" s="137">
        <f>(7900*3)+(8300*2)+5000</f>
        <v>45300</v>
      </c>
      <c r="U68" s="156" t="s">
        <v>146</v>
      </c>
      <c r="V68" s="124"/>
    </row>
    <row r="69" spans="1:22" ht="25.5" customHeight="1">
      <c r="A69" s="264">
        <v>6</v>
      </c>
      <c r="B69" s="287" t="s">
        <v>120</v>
      </c>
      <c r="C69" s="287"/>
      <c r="D69" s="287"/>
      <c r="E69" s="272">
        <v>1</v>
      </c>
      <c r="F69" s="264" t="s">
        <v>116</v>
      </c>
      <c r="G69" s="272">
        <f>AVERAGE(N69,P69,R69)</f>
        <v>10500</v>
      </c>
      <c r="H69" s="310">
        <f t="shared" si="21"/>
        <v>10500</v>
      </c>
      <c r="I69" s="272"/>
      <c r="J69" s="310"/>
      <c r="K69" s="311">
        <f t="shared" si="20"/>
        <v>10500</v>
      </c>
      <c r="L69" s="264"/>
      <c r="M69" s="107"/>
      <c r="N69" s="137">
        <v>12900</v>
      </c>
      <c r="O69" s="137">
        <v>13800</v>
      </c>
      <c r="P69" s="130">
        <v>10000</v>
      </c>
      <c r="Q69" s="175" t="s">
        <v>129</v>
      </c>
      <c r="R69" s="124">
        <v>8600</v>
      </c>
      <c r="S69" s="156" t="s">
        <v>136</v>
      </c>
      <c r="T69" s="137">
        <v>13500</v>
      </c>
      <c r="U69" s="156" t="s">
        <v>146</v>
      </c>
      <c r="V69" s="124"/>
    </row>
    <row r="70" spans="1:22" ht="25.5" customHeight="1">
      <c r="A70" s="264">
        <v>7</v>
      </c>
      <c r="B70" s="143" t="s">
        <v>137</v>
      </c>
      <c r="C70" s="143"/>
      <c r="D70" s="143"/>
      <c r="E70" s="272">
        <v>1</v>
      </c>
      <c r="F70" s="264" t="s">
        <v>117</v>
      </c>
      <c r="G70" s="272">
        <f>AVERAGE(N70:P70)</f>
        <v>16770.666666666668</v>
      </c>
      <c r="H70" s="310">
        <f t="shared" si="21"/>
        <v>16770.666666666668</v>
      </c>
      <c r="I70" s="272"/>
      <c r="J70" s="310"/>
      <c r="K70" s="311">
        <f t="shared" si="20"/>
        <v>16770.666666666668</v>
      </c>
      <c r="L70" s="264"/>
      <c r="M70" s="107"/>
      <c r="N70" s="137">
        <v>19800</v>
      </c>
      <c r="O70" s="137">
        <v>21200</v>
      </c>
      <c r="P70" s="173">
        <f>1860+1980+2352+3120</f>
        <v>9312</v>
      </c>
      <c r="Q70" s="156" t="s">
        <v>136</v>
      </c>
      <c r="R70" s="124"/>
      <c r="S70" s="124"/>
      <c r="T70" s="137"/>
      <c r="U70" s="124"/>
      <c r="V70" s="124"/>
    </row>
    <row r="71" spans="1:22" ht="25.5" customHeight="1">
      <c r="A71" s="264">
        <v>8</v>
      </c>
      <c r="B71" s="762" t="s">
        <v>119</v>
      </c>
      <c r="C71" s="763"/>
      <c r="D71" s="764"/>
      <c r="E71" s="272">
        <v>1</v>
      </c>
      <c r="F71" s="264" t="s">
        <v>50</v>
      </c>
      <c r="G71" s="272">
        <f>AVERAGE(N71:P71)</f>
        <v>4418.666666666667</v>
      </c>
      <c r="H71" s="310">
        <f t="shared" si="21"/>
        <v>4418.666666666667</v>
      </c>
      <c r="I71" s="272"/>
      <c r="J71" s="310"/>
      <c r="K71" s="311">
        <f t="shared" si="20"/>
        <v>4418.666666666667</v>
      </c>
      <c r="L71" s="264"/>
      <c r="M71" s="107"/>
      <c r="N71" s="137">
        <v>5000</v>
      </c>
      <c r="O71" s="137">
        <v>5400</v>
      </c>
      <c r="P71" s="177">
        <f>240+357+636+1623</f>
        <v>2856</v>
      </c>
      <c r="Q71" s="156" t="s">
        <v>136</v>
      </c>
      <c r="R71" s="124"/>
      <c r="S71" s="124"/>
      <c r="T71" s="137"/>
      <c r="U71" s="124"/>
      <c r="V71" s="124"/>
    </row>
    <row r="72" spans="1:22" ht="25.5" customHeight="1">
      <c r="A72" s="264">
        <v>9</v>
      </c>
      <c r="B72" s="762" t="s">
        <v>118</v>
      </c>
      <c r="C72" s="763"/>
      <c r="D72" s="764"/>
      <c r="E72" s="272">
        <v>1</v>
      </c>
      <c r="F72" s="264" t="s">
        <v>116</v>
      </c>
      <c r="G72" s="272">
        <f>AVERAGE(N72,P72,R72)</f>
        <v>37666.666666666664</v>
      </c>
      <c r="H72" s="310">
        <f t="shared" si="21"/>
        <v>37666.666666666664</v>
      </c>
      <c r="I72" s="272"/>
      <c r="J72" s="310"/>
      <c r="K72" s="311">
        <f t="shared" si="20"/>
        <v>37666.666666666664</v>
      </c>
      <c r="L72" s="264"/>
      <c r="M72" s="107"/>
      <c r="N72" s="137">
        <v>43000</v>
      </c>
      <c r="O72" s="137">
        <v>46000</v>
      </c>
      <c r="P72" s="130">
        <v>30000</v>
      </c>
      <c r="Q72" s="175" t="s">
        <v>130</v>
      </c>
      <c r="R72" s="137">
        <v>40000</v>
      </c>
      <c r="S72" s="156" t="s">
        <v>136</v>
      </c>
      <c r="T72" s="107"/>
      <c r="U72" s="173">
        <v>526868</v>
      </c>
      <c r="V72" s="157" t="s">
        <v>131</v>
      </c>
    </row>
    <row r="73" spans="1:22" ht="25.5" customHeight="1">
      <c r="A73" s="312"/>
      <c r="B73" s="811" t="s">
        <v>14</v>
      </c>
      <c r="C73" s="812"/>
      <c r="D73" s="813"/>
      <c r="E73" s="313"/>
      <c r="F73" s="312"/>
      <c r="G73" s="314"/>
      <c r="H73" s="315">
        <f>SUM(H10:H34,H39,H41:H47,H49:H55,H57:H59,H64:H72)</f>
        <v>6399462.666666667</v>
      </c>
      <c r="I73" s="315"/>
      <c r="J73" s="315"/>
      <c r="K73" s="315">
        <f t="shared" ref="K73" si="22">SUM(K10:K34,K39,K41:K47,K49:K55,K57:K59,K64:K72)</f>
        <v>6142796.0000000009</v>
      </c>
      <c r="L73" s="300"/>
      <c r="M73" s="107"/>
      <c r="O73" s="122"/>
      <c r="P73" s="122"/>
      <c r="Q73" s="21"/>
      <c r="R73" s="160"/>
      <c r="S73" s="178"/>
      <c r="T73" s="138"/>
      <c r="U73" s="122"/>
    </row>
    <row r="75" spans="1:22" ht="13.5" thickBot="1"/>
    <row r="76" spans="1:22" ht="13.5" thickTop="1">
      <c r="A76" s="814" t="s">
        <v>192</v>
      </c>
      <c r="B76" s="814"/>
      <c r="C76" s="814"/>
      <c r="D76" s="814"/>
      <c r="E76" s="814"/>
      <c r="F76" s="814"/>
      <c r="G76" s="814"/>
      <c r="H76" s="814"/>
      <c r="I76" s="814"/>
      <c r="J76" s="814"/>
      <c r="K76" s="814"/>
      <c r="L76" s="814"/>
    </row>
    <row r="77" spans="1:22">
      <c r="A77" s="815"/>
      <c r="B77" s="815"/>
      <c r="C77" s="815"/>
      <c r="D77" s="815"/>
      <c r="E77" s="815"/>
      <c r="F77" s="815"/>
      <c r="G77" s="815"/>
      <c r="H77" s="815"/>
      <c r="I77" s="815"/>
      <c r="J77" s="815"/>
      <c r="K77" s="815"/>
      <c r="L77" s="815"/>
    </row>
    <row r="78" spans="1:22">
      <c r="A78" s="815"/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</row>
  </sheetData>
  <mergeCells count="46">
    <mergeCell ref="B71:D71"/>
    <mergeCell ref="B72:D72"/>
    <mergeCell ref="B73:D73"/>
    <mergeCell ref="A76:L78"/>
    <mergeCell ref="G61:H61"/>
    <mergeCell ref="I61:J61"/>
    <mergeCell ref="K61:K62"/>
    <mergeCell ref="L61:L62"/>
    <mergeCell ref="B63:D63"/>
    <mergeCell ref="B65:D65"/>
    <mergeCell ref="F61:F62"/>
    <mergeCell ref="B54:D54"/>
    <mergeCell ref="B55:D55"/>
    <mergeCell ref="A61:A62"/>
    <mergeCell ref="B61:D62"/>
    <mergeCell ref="E61:E62"/>
    <mergeCell ref="B47:D47"/>
    <mergeCell ref="B34:D34"/>
    <mergeCell ref="B35:D35"/>
    <mergeCell ref="A36:A37"/>
    <mergeCell ref="B36:D37"/>
    <mergeCell ref="E36:E37"/>
    <mergeCell ref="F36:F37"/>
    <mergeCell ref="K5:K6"/>
    <mergeCell ref="L5:L6"/>
    <mergeCell ref="N5:R5"/>
    <mergeCell ref="E5:E6"/>
    <mergeCell ref="F5:F6"/>
    <mergeCell ref="G5:H5"/>
    <mergeCell ref="I5:J5"/>
    <mergeCell ref="G36:H36"/>
    <mergeCell ref="I36:J36"/>
    <mergeCell ref="K36:K37"/>
    <mergeCell ref="L36:L37"/>
    <mergeCell ref="N36:R36"/>
    <mergeCell ref="B7:D7"/>
    <mergeCell ref="B8:D8"/>
    <mergeCell ref="B17:D17"/>
    <mergeCell ref="A5:A6"/>
    <mergeCell ref="B5:D6"/>
    <mergeCell ref="A1:K1"/>
    <mergeCell ref="D2:K2"/>
    <mergeCell ref="A3:C3"/>
    <mergeCell ref="A4:C4"/>
    <mergeCell ref="D4:G4"/>
    <mergeCell ref="H4:I4"/>
  </mergeCells>
  <hyperlinks>
    <hyperlink ref="P9" r:id="rId1" xr:uid="{00000000-0004-0000-0B00-000000000000}"/>
    <hyperlink ref="O9" r:id="rId2" xr:uid="{00000000-0004-0000-0B00-000001000000}"/>
    <hyperlink ref="Q9" r:id="rId3" xr:uid="{00000000-0004-0000-0B00-000002000000}"/>
    <hyperlink ref="R9" r:id="rId4" xr:uid="{00000000-0004-0000-0B00-000003000000}"/>
    <hyperlink ref="P38" r:id="rId5" xr:uid="{00000000-0004-0000-0B00-000004000000}"/>
    <hyperlink ref="O38" r:id="rId6" xr:uid="{00000000-0004-0000-0B00-000005000000}"/>
    <hyperlink ref="Q38" r:id="rId7" xr:uid="{00000000-0004-0000-0B00-000006000000}"/>
    <hyperlink ref="R38" r:id="rId8" xr:uid="{00000000-0004-0000-0B00-000007000000}"/>
    <hyperlink ref="P48" r:id="rId9" xr:uid="{00000000-0004-0000-0B00-000008000000}"/>
    <hyperlink ref="O48" r:id="rId10" xr:uid="{00000000-0004-0000-0B00-000009000000}"/>
    <hyperlink ref="Q48" r:id="rId11" xr:uid="{00000000-0004-0000-0B00-00000A000000}"/>
    <hyperlink ref="R48" r:id="rId12" xr:uid="{00000000-0004-0000-0B00-00000B000000}"/>
    <hyperlink ref="P40" r:id="rId13" xr:uid="{00000000-0004-0000-0B00-00000C000000}"/>
    <hyperlink ref="O40" r:id="rId14" xr:uid="{00000000-0004-0000-0B00-00000D000000}"/>
    <hyperlink ref="Q40" r:id="rId15" xr:uid="{00000000-0004-0000-0B00-00000E000000}"/>
    <hyperlink ref="R40" r:id="rId16" xr:uid="{00000000-0004-0000-0B00-00000F000000}"/>
    <hyperlink ref="P56" r:id="rId17" xr:uid="{00000000-0004-0000-0B00-000010000000}"/>
    <hyperlink ref="O56" r:id="rId18" xr:uid="{00000000-0004-0000-0B00-000011000000}"/>
    <hyperlink ref="Q56" r:id="rId19" xr:uid="{00000000-0004-0000-0B00-000012000000}"/>
    <hyperlink ref="R56" r:id="rId20" xr:uid="{00000000-0004-0000-0B00-000013000000}"/>
    <hyperlink ref="Q64" r:id="rId21" xr:uid="{00000000-0004-0000-0B00-000014000000}"/>
    <hyperlink ref="S64" r:id="rId22" xr:uid="{00000000-0004-0000-0B00-000015000000}"/>
    <hyperlink ref="Q65" r:id="rId23" xr:uid="{00000000-0004-0000-0B00-000016000000}"/>
    <hyperlink ref="S65" r:id="rId24" xr:uid="{00000000-0004-0000-0B00-000017000000}"/>
    <hyperlink ref="Q67" r:id="rId25" xr:uid="{00000000-0004-0000-0B00-000018000000}"/>
    <hyperlink ref="Q68" r:id="rId26" xr:uid="{00000000-0004-0000-0B00-000019000000}"/>
    <hyperlink ref="Q69" r:id="rId27" xr:uid="{00000000-0004-0000-0B00-00001A000000}"/>
    <hyperlink ref="Q72" r:id="rId28" xr:uid="{00000000-0004-0000-0B00-00001B000000}"/>
    <hyperlink ref="V72" r:id="rId29" xr:uid="{00000000-0004-0000-0B00-00001C000000}"/>
    <hyperlink ref="S72" r:id="rId30" xr:uid="{00000000-0004-0000-0B00-00001D000000}"/>
    <hyperlink ref="Q70" r:id="rId31" xr:uid="{00000000-0004-0000-0B00-00001E000000}"/>
    <hyperlink ref="S67" r:id="rId32" xr:uid="{00000000-0004-0000-0B00-00001F000000}"/>
    <hyperlink ref="S68" r:id="rId33" xr:uid="{00000000-0004-0000-0B00-000020000000}"/>
    <hyperlink ref="S69" r:id="rId34" xr:uid="{00000000-0004-0000-0B00-000021000000}"/>
    <hyperlink ref="Q66" r:id="rId35" xr:uid="{00000000-0004-0000-0B00-000022000000}"/>
    <hyperlink ref="U67" r:id="rId36" xr:uid="{00000000-0004-0000-0B00-000023000000}"/>
    <hyperlink ref="U68" r:id="rId37" xr:uid="{00000000-0004-0000-0B00-000024000000}"/>
    <hyperlink ref="U69" r:id="rId38" xr:uid="{00000000-0004-0000-0B00-000025000000}"/>
    <hyperlink ref="N63" r:id="rId39" xr:uid="{00000000-0004-0000-0B00-000026000000}"/>
    <hyperlink ref="O63" r:id="rId40" xr:uid="{00000000-0004-0000-0B00-000027000000}"/>
    <hyperlink ref="Q71" r:id="rId41" xr:uid="{00000000-0004-0000-0B00-000028000000}"/>
  </hyperlinks>
  <pageMargins left="0.55118110236220474" right="0" top="0.74803149606299213" bottom="0.15748031496062992" header="0.31496062992125984" footer="0.31496062992125984"/>
  <pageSetup paperSize="9" scale="73" orientation="landscape" r:id="rId42"/>
  <headerFooter>
    <oddHeader>&amp;CPage &amp;P&amp;Rแบบ ปร.4 (ก)</oddHeader>
    <oddFooter>&amp;Rหน้าที่ 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L32"/>
  <sheetViews>
    <sheetView zoomScaleNormal="100" workbookViewId="0">
      <selection activeCell="H13" sqref="H13:J13"/>
    </sheetView>
  </sheetViews>
  <sheetFormatPr defaultRowHeight="18"/>
  <cols>
    <col min="1" max="1" width="6.140625" style="68" customWidth="1"/>
    <col min="2" max="2" width="6.5703125" style="68" customWidth="1"/>
    <col min="3" max="3" width="3.42578125" style="68" customWidth="1"/>
    <col min="4" max="4" width="9.5703125" style="68" customWidth="1"/>
    <col min="5" max="5" width="3.85546875" style="68" customWidth="1"/>
    <col min="6" max="6" width="3.5703125" style="68" customWidth="1"/>
    <col min="7" max="7" width="4" style="68" customWidth="1"/>
    <col min="8" max="8" width="3.5703125" style="68" customWidth="1"/>
    <col min="9" max="9" width="17" style="68" customWidth="1"/>
    <col min="10" max="10" width="9" style="68" bestFit="1" customWidth="1"/>
    <col min="11" max="11" width="12.42578125" style="68" customWidth="1"/>
    <col min="12" max="12" width="12.85546875" style="68" customWidth="1"/>
  </cols>
  <sheetData>
    <row r="1" spans="1:12" s="39" customFormat="1" ht="20.25">
      <c r="A1" s="782" t="s">
        <v>40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28" t="s">
        <v>39</v>
      </c>
    </row>
    <row r="2" spans="1:12" s="39" customFormat="1" ht="20.25">
      <c r="A2" s="40" t="s">
        <v>10</v>
      </c>
      <c r="B2" s="819" t="s">
        <v>28</v>
      </c>
      <c r="C2" s="819"/>
      <c r="D2" s="819"/>
      <c r="E2" s="800" t="e">
        <f>+#REF!</f>
        <v>#REF!</v>
      </c>
      <c r="F2" s="800"/>
      <c r="G2" s="800"/>
      <c r="H2" s="800"/>
      <c r="I2" s="800"/>
      <c r="J2" s="800"/>
      <c r="K2" s="800"/>
      <c r="L2" s="800"/>
    </row>
    <row r="3" spans="1:12" s="39" customFormat="1" ht="20.25">
      <c r="A3" s="41" t="s">
        <v>10</v>
      </c>
      <c r="B3" s="42" t="s">
        <v>0</v>
      </c>
      <c r="C3" s="42"/>
      <c r="D3" s="42"/>
      <c r="E3" s="43" t="e">
        <f>+#REF!</f>
        <v>#REF!</v>
      </c>
      <c r="F3" s="43"/>
      <c r="G3" s="43"/>
      <c r="H3" s="43"/>
      <c r="I3" s="43"/>
      <c r="J3" s="44"/>
      <c r="K3" s="820"/>
      <c r="L3" s="820"/>
    </row>
    <row r="4" spans="1:12" s="39" customFormat="1" ht="20.25">
      <c r="A4" s="41" t="s">
        <v>10</v>
      </c>
      <c r="B4" s="45" t="s">
        <v>1</v>
      </c>
      <c r="C4" s="45"/>
      <c r="D4" s="45"/>
      <c r="E4" s="46" t="e">
        <f>+#REF!</f>
        <v>#REF!</v>
      </c>
      <c r="F4" s="43"/>
      <c r="G4" s="43"/>
      <c r="H4" s="43"/>
      <c r="I4" s="43"/>
      <c r="J4" s="43"/>
      <c r="K4" s="43"/>
      <c r="L4" s="43"/>
    </row>
    <row r="5" spans="1:12" s="39" customFormat="1" ht="20.25">
      <c r="A5" s="41" t="s">
        <v>10</v>
      </c>
      <c r="B5" s="821" t="s">
        <v>29</v>
      </c>
      <c r="C5" s="821"/>
      <c r="D5" s="821"/>
      <c r="E5" s="821"/>
      <c r="F5" s="821"/>
      <c r="G5" s="821"/>
      <c r="H5" s="821"/>
      <c r="I5" s="47" t="s">
        <v>11</v>
      </c>
      <c r="J5" s="48">
        <v>6</v>
      </c>
      <c r="K5" s="822" t="s">
        <v>12</v>
      </c>
      <c r="L5" s="822"/>
    </row>
    <row r="6" spans="1:12" s="39" customFormat="1" ht="20.25">
      <c r="A6" s="41" t="s">
        <v>10</v>
      </c>
      <c r="B6" s="42" t="s">
        <v>2</v>
      </c>
      <c r="C6" s="43"/>
      <c r="D6" s="43"/>
      <c r="E6" s="43"/>
      <c r="F6" s="823" t="e">
        <f>+#REF!</f>
        <v>#REF!</v>
      </c>
      <c r="G6" s="823"/>
      <c r="H6" s="823"/>
      <c r="I6" s="823"/>
      <c r="J6" s="823"/>
      <c r="K6" s="824" t="s">
        <v>27</v>
      </c>
      <c r="L6" s="824"/>
    </row>
    <row r="7" spans="1:12" s="39" customFormat="1" ht="21" thickBot="1">
      <c r="A7" s="49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39" customFormat="1" ht="21" thickTop="1">
      <c r="A8" s="825" t="s">
        <v>3</v>
      </c>
      <c r="B8" s="826" t="s">
        <v>4</v>
      </c>
      <c r="C8" s="827"/>
      <c r="D8" s="827"/>
      <c r="E8" s="827"/>
      <c r="F8" s="827"/>
      <c r="G8" s="827"/>
      <c r="H8" s="827"/>
      <c r="I8" s="38" t="s">
        <v>22</v>
      </c>
      <c r="J8" s="828" t="s">
        <v>25</v>
      </c>
      <c r="K8" s="51" t="s">
        <v>19</v>
      </c>
      <c r="L8" s="825" t="s">
        <v>5</v>
      </c>
    </row>
    <row r="9" spans="1:12" s="39" customFormat="1" ht="21" thickBot="1">
      <c r="A9" s="767"/>
      <c r="B9" s="770"/>
      <c r="C9" s="771"/>
      <c r="D9" s="771"/>
      <c r="E9" s="771"/>
      <c r="F9" s="771"/>
      <c r="G9" s="771"/>
      <c r="H9" s="771"/>
      <c r="I9" s="52" t="s">
        <v>20</v>
      </c>
      <c r="J9" s="829"/>
      <c r="K9" s="52" t="s">
        <v>20</v>
      </c>
      <c r="L9" s="767"/>
    </row>
    <row r="10" spans="1:12" s="39" customFormat="1" ht="21" thickTop="1">
      <c r="A10" s="53">
        <v>1</v>
      </c>
      <c r="B10" s="830" t="s">
        <v>34</v>
      </c>
      <c r="C10" s="831"/>
      <c r="D10" s="831"/>
      <c r="E10" s="831"/>
      <c r="F10" s="831"/>
      <c r="G10" s="831"/>
      <c r="H10" s="831"/>
      <c r="I10" s="54" t="e">
        <f>#REF!</f>
        <v>#REF!</v>
      </c>
      <c r="J10" s="55" t="e">
        <f>#REF!</f>
        <v>#REF!</v>
      </c>
      <c r="K10" s="54" t="e">
        <f>I10*ROUND(J10,4)</f>
        <v>#REF!</v>
      </c>
      <c r="L10" s="56"/>
    </row>
    <row r="11" spans="1:12" s="39" customFormat="1" ht="20.25">
      <c r="A11" s="29"/>
      <c r="B11" s="832"/>
      <c r="C11" s="822"/>
      <c r="D11" s="822"/>
      <c r="E11" s="822"/>
      <c r="F11" s="822"/>
      <c r="G11" s="822"/>
      <c r="H11" s="822"/>
      <c r="I11" s="31"/>
      <c r="J11" s="30"/>
      <c r="K11" s="31"/>
      <c r="L11" s="30"/>
    </row>
    <row r="12" spans="1:12" s="39" customFormat="1" ht="20.25">
      <c r="A12" s="29"/>
      <c r="B12" s="833"/>
      <c r="C12" s="834"/>
      <c r="D12" s="834"/>
      <c r="E12" s="834"/>
      <c r="F12" s="834"/>
      <c r="G12" s="834"/>
      <c r="H12" s="834"/>
      <c r="I12" s="58"/>
      <c r="J12" s="30"/>
      <c r="K12" s="31"/>
      <c r="L12" s="30"/>
    </row>
    <row r="13" spans="1:12" s="39" customFormat="1" ht="20.25">
      <c r="A13" s="29"/>
      <c r="B13" s="835"/>
      <c r="C13" s="836"/>
      <c r="D13" s="836"/>
      <c r="E13" s="836"/>
      <c r="F13" s="836"/>
      <c r="G13" s="836"/>
      <c r="H13" s="837"/>
      <c r="I13" s="30"/>
      <c r="J13" s="30"/>
      <c r="K13" s="59"/>
      <c r="L13" s="30"/>
    </row>
    <row r="14" spans="1:12" s="39" customFormat="1" ht="20.25">
      <c r="A14" s="29"/>
      <c r="B14" s="790"/>
      <c r="C14" s="791"/>
      <c r="D14" s="791"/>
      <c r="E14" s="791"/>
      <c r="F14" s="791"/>
      <c r="G14" s="791"/>
      <c r="H14" s="60"/>
      <c r="I14" s="30"/>
      <c r="J14" s="30"/>
      <c r="K14" s="31"/>
      <c r="L14" s="30"/>
    </row>
    <row r="15" spans="1:12" s="39" customFormat="1" ht="20.25">
      <c r="A15" s="30"/>
      <c r="B15" s="759"/>
      <c r="C15" s="760"/>
      <c r="D15" s="760"/>
      <c r="E15" s="760"/>
      <c r="F15" s="760"/>
      <c r="G15" s="760"/>
      <c r="H15" s="61"/>
      <c r="I15" s="30"/>
      <c r="J15" s="30"/>
      <c r="K15" s="31"/>
      <c r="L15" s="30"/>
    </row>
    <row r="16" spans="1:12" s="39" customFormat="1" ht="20.25">
      <c r="A16" s="30"/>
      <c r="B16" s="759"/>
      <c r="C16" s="760"/>
      <c r="D16" s="760"/>
      <c r="E16" s="760"/>
      <c r="F16" s="760"/>
      <c r="G16" s="760"/>
      <c r="H16" s="61"/>
      <c r="I16" s="30"/>
      <c r="J16" s="30"/>
      <c r="K16" s="31"/>
      <c r="L16" s="30"/>
    </row>
    <row r="17" spans="1:12" s="39" customFormat="1" ht="21" thickBot="1">
      <c r="A17" s="32"/>
      <c r="B17" s="838"/>
      <c r="C17" s="839"/>
      <c r="D17" s="839"/>
      <c r="E17" s="839"/>
      <c r="F17" s="839"/>
      <c r="G17" s="839"/>
      <c r="H17" s="62"/>
      <c r="I17" s="32"/>
      <c r="J17" s="32"/>
      <c r="K17" s="33"/>
      <c r="L17" s="32"/>
    </row>
    <row r="18" spans="1:12" s="39" customFormat="1" ht="21" thickTop="1">
      <c r="A18" s="840" t="s">
        <v>21</v>
      </c>
      <c r="B18" s="841"/>
      <c r="C18" s="841"/>
      <c r="D18" s="841"/>
      <c r="E18" s="841"/>
      <c r="F18" s="841"/>
      <c r="G18" s="841"/>
      <c r="H18" s="841"/>
      <c r="I18" s="842"/>
      <c r="J18" s="843"/>
      <c r="K18" s="81" t="e">
        <f>SUM(K10:K17)</f>
        <v>#REF!</v>
      </c>
      <c r="L18" s="64"/>
    </row>
    <row r="19" spans="1:12" s="39" customFormat="1" ht="21" thickBot="1">
      <c r="A19" s="844" t="e">
        <f>"("&amp;BAHTTEXT(K19)&amp;")"</f>
        <v>#REF!</v>
      </c>
      <c r="B19" s="845"/>
      <c r="C19" s="845"/>
      <c r="D19" s="845"/>
      <c r="E19" s="845"/>
      <c r="F19" s="845"/>
      <c r="G19" s="845"/>
      <c r="H19" s="845"/>
      <c r="I19" s="845"/>
      <c r="J19" s="82" t="s">
        <v>26</v>
      </c>
      <c r="K19" s="83" t="e">
        <f>ROUNDDOWN(K18,-2)</f>
        <v>#REF!</v>
      </c>
      <c r="L19" s="65" t="s">
        <v>9</v>
      </c>
    </row>
    <row r="20" spans="1:12" s="39" customFormat="1" ht="21" thickTop="1">
      <c r="A20" s="1"/>
      <c r="B20" s="645"/>
      <c r="C20" s="645"/>
      <c r="D20" s="645"/>
      <c r="E20" s="645"/>
      <c r="F20" s="645"/>
      <c r="G20" s="643"/>
      <c r="H20" s="643"/>
      <c r="I20" s="643"/>
      <c r="J20" s="643"/>
      <c r="K20" s="643"/>
      <c r="L20" s="643"/>
    </row>
    <row r="21" spans="1:12" s="39" customFormat="1" ht="20.25">
      <c r="A21" s="1"/>
      <c r="B21" s="643"/>
      <c r="C21" s="643"/>
      <c r="D21" s="643"/>
      <c r="E21" s="643"/>
      <c r="F21" s="643"/>
      <c r="G21" s="643"/>
      <c r="H21" s="643"/>
      <c r="I21" s="643"/>
      <c r="J21" s="643"/>
      <c r="K21" s="643"/>
      <c r="L21" s="643"/>
    </row>
    <row r="22" spans="1:12" s="39" customFormat="1" ht="21.95" customHeight="1">
      <c r="A22" s="1"/>
      <c r="B22" s="645" t="s">
        <v>30</v>
      </c>
      <c r="C22" s="645"/>
      <c r="D22" s="645"/>
      <c r="E22" s="645"/>
      <c r="F22" s="645"/>
      <c r="G22" s="643"/>
      <c r="H22" s="643"/>
      <c r="I22" s="643"/>
      <c r="J22" s="643"/>
      <c r="K22" s="643"/>
      <c r="L22" s="643"/>
    </row>
    <row r="23" spans="1:12" s="39" customFormat="1" ht="21.95" customHeight="1">
      <c r="A23" s="1"/>
      <c r="B23" s="643"/>
      <c r="C23" s="643"/>
      <c r="D23" s="643"/>
      <c r="E23" s="643"/>
      <c r="F23" s="643"/>
      <c r="G23" s="643" t="s">
        <v>47</v>
      </c>
      <c r="H23" s="643"/>
      <c r="I23" s="643"/>
      <c r="J23" s="643"/>
      <c r="K23" s="643"/>
      <c r="L23" s="643"/>
    </row>
    <row r="24" spans="1:12" s="39" customFormat="1" ht="21.95" customHeight="1">
      <c r="A24" s="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39" customFormat="1" ht="21.95" customHeight="1">
      <c r="A25" s="1"/>
      <c r="B25" s="645" t="s">
        <v>31</v>
      </c>
      <c r="C25" s="645"/>
      <c r="D25" s="645"/>
      <c r="E25" s="645"/>
      <c r="F25" s="645"/>
      <c r="G25" s="643"/>
      <c r="H25" s="643"/>
      <c r="I25" s="643"/>
      <c r="J25" s="645" t="s">
        <v>42</v>
      </c>
      <c r="K25" s="645"/>
      <c r="L25" s="645"/>
    </row>
    <row r="26" spans="1:12" s="39" customFormat="1" ht="21.95" customHeight="1">
      <c r="A26" s="1"/>
      <c r="B26" s="643"/>
      <c r="C26" s="643"/>
      <c r="D26" s="643"/>
      <c r="E26" s="643"/>
      <c r="F26" s="643"/>
      <c r="G26" s="643" t="s">
        <v>47</v>
      </c>
      <c r="H26" s="643"/>
      <c r="I26" s="643"/>
      <c r="J26" s="643"/>
      <c r="K26" s="643"/>
      <c r="L26" s="643"/>
    </row>
    <row r="27" spans="1:12" s="39" customFormat="1" ht="21.95" customHeight="1">
      <c r="A27" s="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s="39" customFormat="1" ht="21.95" customHeight="1">
      <c r="A28" s="1"/>
      <c r="B28" s="645" t="s">
        <v>31</v>
      </c>
      <c r="C28" s="645"/>
      <c r="D28" s="645"/>
      <c r="E28" s="645"/>
      <c r="F28" s="645"/>
      <c r="G28" s="643"/>
      <c r="H28" s="643"/>
      <c r="I28" s="643"/>
      <c r="J28" s="652" t="s">
        <v>35</v>
      </c>
      <c r="K28" s="652"/>
      <c r="L28" s="652"/>
    </row>
    <row r="29" spans="1:12" s="39" customFormat="1" ht="21.95" customHeight="1">
      <c r="A29" s="63"/>
      <c r="B29" s="643"/>
      <c r="C29" s="643"/>
      <c r="D29" s="643"/>
      <c r="E29" s="643"/>
      <c r="F29" s="643"/>
      <c r="G29" s="643" t="s">
        <v>47</v>
      </c>
      <c r="H29" s="643"/>
      <c r="I29" s="643"/>
      <c r="J29" s="652" t="s">
        <v>41</v>
      </c>
      <c r="K29" s="652"/>
      <c r="L29" s="652"/>
    </row>
    <row r="30" spans="1:12" s="39" customFormat="1" ht="21.95" customHeight="1">
      <c r="A30" s="63"/>
      <c r="B30" s="26"/>
      <c r="C30" s="26"/>
      <c r="D30" s="26"/>
      <c r="E30" s="26"/>
      <c r="F30" s="26"/>
      <c r="G30" s="26"/>
      <c r="H30" s="26"/>
      <c r="I30" s="26"/>
      <c r="J30" s="66"/>
      <c r="K30" s="66"/>
      <c r="L30" s="66"/>
    </row>
    <row r="31" spans="1:12" s="39" customFormat="1" ht="21.95" customHeight="1">
      <c r="A31" s="67"/>
      <c r="B31" s="645" t="s">
        <v>32</v>
      </c>
      <c r="C31" s="645"/>
      <c r="D31" s="645"/>
      <c r="E31" s="645"/>
      <c r="F31" s="645"/>
      <c r="G31" s="643"/>
      <c r="H31" s="643"/>
      <c r="I31" s="643"/>
      <c r="J31" s="652" t="s">
        <v>36</v>
      </c>
      <c r="K31" s="652"/>
      <c r="L31" s="652"/>
    </row>
    <row r="32" spans="1:12" s="39" customFormat="1" ht="21.95" customHeight="1">
      <c r="A32" s="67"/>
      <c r="B32" s="643"/>
      <c r="C32" s="643"/>
      <c r="D32" s="643"/>
      <c r="E32" s="643"/>
      <c r="F32" s="643"/>
      <c r="G32" s="643" t="s">
        <v>47</v>
      </c>
      <c r="H32" s="643"/>
      <c r="I32" s="643"/>
      <c r="J32" s="652" t="s">
        <v>41</v>
      </c>
      <c r="K32" s="652"/>
      <c r="L32" s="652"/>
    </row>
  </sheetData>
  <mergeCells count="52">
    <mergeCell ref="B32:F32"/>
    <mergeCell ref="G32:I32"/>
    <mergeCell ref="J32:L32"/>
    <mergeCell ref="B29:F29"/>
    <mergeCell ref="G29:I29"/>
    <mergeCell ref="J29:L29"/>
    <mergeCell ref="B31:F31"/>
    <mergeCell ref="G31:I31"/>
    <mergeCell ref="J31:L31"/>
    <mergeCell ref="B26:F26"/>
    <mergeCell ref="G26:I26"/>
    <mergeCell ref="J26:L26"/>
    <mergeCell ref="B28:F28"/>
    <mergeCell ref="G28:I28"/>
    <mergeCell ref="J28:L28"/>
    <mergeCell ref="B23:F23"/>
    <mergeCell ref="G23:I23"/>
    <mergeCell ref="J23:L23"/>
    <mergeCell ref="B25:F25"/>
    <mergeCell ref="G25:I25"/>
    <mergeCell ref="J25:L25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5:G15"/>
    <mergeCell ref="F6:J6"/>
    <mergeCell ref="K6:L6"/>
    <mergeCell ref="A8:A9"/>
    <mergeCell ref="B8:H9"/>
    <mergeCell ref="J8:J9"/>
    <mergeCell ref="L8:L9"/>
    <mergeCell ref="B10:H10"/>
    <mergeCell ref="B11:H11"/>
    <mergeCell ref="B12:H12"/>
    <mergeCell ref="B13:H13"/>
    <mergeCell ref="B14:G14"/>
    <mergeCell ref="A1:K1"/>
    <mergeCell ref="B2:D2"/>
    <mergeCell ref="E2:L2"/>
    <mergeCell ref="K3:L3"/>
    <mergeCell ref="B5:H5"/>
    <mergeCell ref="K5:L5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K33"/>
  <sheetViews>
    <sheetView topLeftCell="A10" workbookViewId="0">
      <selection activeCell="H13" sqref="H13:J13"/>
    </sheetView>
  </sheetViews>
  <sheetFormatPr defaultRowHeight="18.75"/>
  <cols>
    <col min="1" max="1" width="7.85546875" style="1" customWidth="1"/>
    <col min="2" max="2" width="1.42578125" style="1" customWidth="1"/>
    <col min="3" max="3" width="4.140625" style="1" customWidth="1"/>
    <col min="4" max="4" width="8.42578125" style="1" customWidth="1"/>
    <col min="5" max="5" width="16" style="1" customWidth="1"/>
    <col min="6" max="6" width="10.140625" style="1" customWidth="1"/>
    <col min="7" max="7" width="4" style="1" customWidth="1"/>
    <col min="8" max="8" width="6" style="34" customWidth="1"/>
    <col min="9" max="9" width="8.42578125" style="34" customWidth="1"/>
    <col min="10" max="10" width="8" style="34" customWidth="1"/>
    <col min="11" max="11" width="14.42578125" style="1" customWidth="1"/>
  </cols>
  <sheetData>
    <row r="1" spans="1:11">
      <c r="A1" s="782" t="s">
        <v>40</v>
      </c>
      <c r="B1" s="782"/>
      <c r="C1" s="782"/>
      <c r="D1" s="782"/>
      <c r="E1" s="782"/>
      <c r="F1" s="782"/>
      <c r="G1" s="782"/>
      <c r="H1" s="782"/>
      <c r="I1" s="782"/>
      <c r="J1" s="782"/>
      <c r="K1" s="28" t="s">
        <v>38</v>
      </c>
    </row>
    <row r="2" spans="1:11">
      <c r="A2" s="819" t="s">
        <v>28</v>
      </c>
      <c r="B2" s="819"/>
      <c r="C2" s="819"/>
      <c r="D2" s="800" t="e">
        <f>+#REF!</f>
        <v>#REF!</v>
      </c>
      <c r="E2" s="800"/>
      <c r="F2" s="800"/>
      <c r="G2" s="800"/>
      <c r="H2" s="800"/>
      <c r="I2" s="800"/>
      <c r="J2" s="800"/>
      <c r="K2" s="800"/>
    </row>
    <row r="3" spans="1:11">
      <c r="A3" s="821" t="s">
        <v>0</v>
      </c>
      <c r="B3" s="821"/>
      <c r="C3" s="821"/>
      <c r="D3" s="822" t="e">
        <f>+#REF!</f>
        <v>#REF!</v>
      </c>
      <c r="E3" s="822"/>
      <c r="F3" s="822"/>
      <c r="G3" s="846"/>
      <c r="H3" s="846"/>
      <c r="I3" s="822"/>
      <c r="J3" s="822"/>
      <c r="K3" s="822"/>
    </row>
    <row r="4" spans="1:11">
      <c r="A4" s="821" t="s">
        <v>1</v>
      </c>
      <c r="B4" s="821"/>
      <c r="C4" s="43"/>
      <c r="D4" s="69" t="e">
        <f>+#REF!</f>
        <v>#REF!</v>
      </c>
      <c r="E4" s="43"/>
      <c r="F4" s="43"/>
      <c r="G4" s="43"/>
      <c r="H4" s="43"/>
      <c r="I4" s="43"/>
      <c r="J4" s="43"/>
      <c r="K4" s="43"/>
    </row>
    <row r="5" spans="1:11">
      <c r="A5" s="822" t="s">
        <v>44</v>
      </c>
      <c r="B5" s="822"/>
      <c r="C5" s="822"/>
      <c r="D5" s="822"/>
      <c r="E5" s="822"/>
      <c r="F5" s="57"/>
      <c r="G5" s="822" t="s">
        <v>11</v>
      </c>
      <c r="H5" s="822"/>
      <c r="I5" s="847">
        <v>8</v>
      </c>
      <c r="J5" s="847"/>
      <c r="K5" s="70" t="s">
        <v>12</v>
      </c>
    </row>
    <row r="6" spans="1:11">
      <c r="A6" s="822" t="s">
        <v>2</v>
      </c>
      <c r="B6" s="822"/>
      <c r="C6" s="822"/>
      <c r="D6" s="822"/>
      <c r="E6" s="71" t="e">
        <f>+#REF!</f>
        <v>#REF!</v>
      </c>
      <c r="F6" s="70"/>
      <c r="G6" s="822"/>
      <c r="H6" s="822"/>
      <c r="I6" s="822"/>
      <c r="J6" s="824"/>
      <c r="K6" s="824"/>
    </row>
    <row r="7" spans="1:11" ht="19.5" thickBot="1">
      <c r="A7" s="848"/>
      <c r="B7" s="848"/>
      <c r="C7" s="848"/>
      <c r="D7" s="848"/>
      <c r="E7" s="848"/>
      <c r="F7" s="848"/>
      <c r="G7" s="848"/>
      <c r="H7" s="848"/>
      <c r="I7" s="848"/>
      <c r="J7" s="848"/>
      <c r="K7" s="848"/>
    </row>
    <row r="8" spans="1:11" ht="21.75" customHeight="1" thickTop="1">
      <c r="A8" s="849" t="s">
        <v>3</v>
      </c>
      <c r="B8" s="826" t="s">
        <v>4</v>
      </c>
      <c r="C8" s="827"/>
      <c r="D8" s="827"/>
      <c r="E8" s="827"/>
      <c r="F8" s="827"/>
      <c r="G8" s="828"/>
      <c r="H8" s="850" t="s">
        <v>19</v>
      </c>
      <c r="I8" s="851"/>
      <c r="J8" s="852"/>
      <c r="K8" s="849" t="s">
        <v>5</v>
      </c>
    </row>
    <row r="9" spans="1:11" ht="21.75" customHeight="1" thickBot="1">
      <c r="A9" s="775"/>
      <c r="B9" s="770"/>
      <c r="C9" s="771"/>
      <c r="D9" s="771"/>
      <c r="E9" s="771"/>
      <c r="F9" s="771"/>
      <c r="G9" s="829"/>
      <c r="H9" s="853" t="s">
        <v>20</v>
      </c>
      <c r="I9" s="854"/>
      <c r="J9" s="855"/>
      <c r="K9" s="775"/>
    </row>
    <row r="10" spans="1:11" ht="19.5" thickTop="1">
      <c r="A10" s="56"/>
      <c r="B10" s="856" t="s">
        <v>6</v>
      </c>
      <c r="C10" s="857"/>
      <c r="D10" s="857"/>
      <c r="E10" s="857"/>
      <c r="F10" s="857"/>
      <c r="G10" s="858"/>
      <c r="H10" s="859"/>
      <c r="I10" s="860"/>
      <c r="J10" s="861"/>
      <c r="K10" s="56"/>
    </row>
    <row r="11" spans="1:11">
      <c r="A11" s="29">
        <f>A10+1</f>
        <v>1</v>
      </c>
      <c r="B11" s="832" t="s">
        <v>37</v>
      </c>
      <c r="C11" s="822"/>
      <c r="D11" s="822"/>
      <c r="E11" s="822"/>
      <c r="F11" s="822"/>
      <c r="G11" s="862"/>
      <c r="H11" s="863" t="e">
        <f>ปร.5หกหน้า!K19</f>
        <v>#REF!</v>
      </c>
      <c r="I11" s="864"/>
      <c r="J11" s="865"/>
      <c r="K11" s="30"/>
    </row>
    <row r="12" spans="1:11">
      <c r="A12" s="29"/>
      <c r="B12" s="832"/>
      <c r="C12" s="822"/>
      <c r="D12" s="822"/>
      <c r="E12" s="822"/>
      <c r="F12" s="822"/>
      <c r="G12" s="862"/>
      <c r="H12" s="863"/>
      <c r="I12" s="864"/>
      <c r="J12" s="865"/>
      <c r="K12" s="30"/>
    </row>
    <row r="13" spans="1:11">
      <c r="A13" s="29"/>
      <c r="B13" s="832"/>
      <c r="C13" s="822"/>
      <c r="D13" s="822"/>
      <c r="E13" s="822"/>
      <c r="F13" s="822"/>
      <c r="G13" s="862"/>
      <c r="H13" s="863"/>
      <c r="I13" s="864"/>
      <c r="J13" s="865"/>
      <c r="K13" s="30"/>
    </row>
    <row r="14" spans="1:11">
      <c r="A14" s="29"/>
      <c r="B14" s="866"/>
      <c r="C14" s="847"/>
      <c r="D14" s="847"/>
      <c r="E14" s="847"/>
      <c r="F14" s="847"/>
      <c r="G14" s="867"/>
      <c r="H14" s="863"/>
      <c r="I14" s="864"/>
      <c r="J14" s="865"/>
      <c r="K14" s="30"/>
    </row>
    <row r="15" spans="1:11">
      <c r="A15" s="29"/>
      <c r="B15" s="866"/>
      <c r="C15" s="847"/>
      <c r="D15" s="847"/>
      <c r="E15" s="847"/>
      <c r="F15" s="847"/>
      <c r="G15" s="867"/>
      <c r="H15" s="863"/>
      <c r="I15" s="864"/>
      <c r="J15" s="865"/>
      <c r="K15" s="30"/>
    </row>
    <row r="16" spans="1:11">
      <c r="A16" s="29"/>
      <c r="B16" s="866"/>
      <c r="C16" s="847"/>
      <c r="D16" s="847"/>
      <c r="E16" s="847"/>
      <c r="F16" s="847"/>
      <c r="G16" s="867"/>
      <c r="H16" s="863"/>
      <c r="I16" s="864"/>
      <c r="J16" s="865"/>
      <c r="K16" s="30"/>
    </row>
    <row r="17" spans="1:11">
      <c r="A17" s="29"/>
      <c r="B17" s="866"/>
      <c r="C17" s="847"/>
      <c r="D17" s="847"/>
      <c r="E17" s="847"/>
      <c r="F17" s="847"/>
      <c r="G17" s="867"/>
      <c r="H17" s="863"/>
      <c r="I17" s="864"/>
      <c r="J17" s="865"/>
      <c r="K17" s="30"/>
    </row>
    <row r="18" spans="1:11">
      <c r="A18" s="29"/>
      <c r="B18" s="866"/>
      <c r="C18" s="847"/>
      <c r="D18" s="847"/>
      <c r="E18" s="847"/>
      <c r="F18" s="847"/>
      <c r="G18" s="867"/>
      <c r="H18" s="863"/>
      <c r="I18" s="864"/>
      <c r="J18" s="865"/>
      <c r="K18" s="30"/>
    </row>
    <row r="19" spans="1:11" ht="19.5" thickBot="1">
      <c r="A19" s="72"/>
      <c r="B19" s="868"/>
      <c r="C19" s="869"/>
      <c r="D19" s="869"/>
      <c r="E19" s="869"/>
      <c r="F19" s="869"/>
      <c r="G19" s="870"/>
      <c r="H19" s="871"/>
      <c r="I19" s="872"/>
      <c r="J19" s="873"/>
      <c r="K19" s="32"/>
    </row>
    <row r="20" spans="1:11" ht="20.25" thickTop="1" thickBot="1">
      <c r="A20" s="766" t="s">
        <v>6</v>
      </c>
      <c r="B20" s="840" t="s">
        <v>8</v>
      </c>
      <c r="C20" s="842"/>
      <c r="D20" s="842"/>
      <c r="E20" s="842"/>
      <c r="F20" s="842"/>
      <c r="G20" s="843"/>
      <c r="H20" s="874" t="e">
        <f>SUM(H11:H19)</f>
        <v>#REF!</v>
      </c>
      <c r="I20" s="875"/>
      <c r="J20" s="876"/>
      <c r="K20" s="73" t="s">
        <v>9</v>
      </c>
    </row>
    <row r="21" spans="1:11" ht="20.25" thickTop="1" thickBot="1">
      <c r="A21" s="767"/>
      <c r="B21" s="844" t="e">
        <f>"("&amp;BAHTTEXT(H20)&amp;")"</f>
        <v>#REF!</v>
      </c>
      <c r="C21" s="845"/>
      <c r="D21" s="845"/>
      <c r="E21" s="845"/>
      <c r="F21" s="845"/>
      <c r="G21" s="845"/>
      <c r="H21" s="845"/>
      <c r="I21" s="845"/>
      <c r="J21" s="845"/>
      <c r="K21" s="74"/>
    </row>
    <row r="22" spans="1:11" ht="19.5" thickTop="1">
      <c r="A22" s="75"/>
      <c r="B22" s="653"/>
      <c r="C22" s="653"/>
      <c r="D22" s="653"/>
      <c r="E22" s="643"/>
      <c r="F22" s="643"/>
      <c r="G22" s="26"/>
      <c r="H22" s="1"/>
      <c r="I22" s="1"/>
      <c r="J22" s="1"/>
    </row>
    <row r="23" spans="1:11">
      <c r="A23" s="645" t="s">
        <v>30</v>
      </c>
      <c r="B23" s="645"/>
      <c r="C23" s="645"/>
      <c r="D23" s="645"/>
      <c r="E23" s="643"/>
      <c r="F23" s="643"/>
      <c r="G23" s="643"/>
      <c r="H23" s="643"/>
      <c r="I23" s="14"/>
      <c r="J23" s="14"/>
    </row>
    <row r="24" spans="1:11">
      <c r="A24" s="75"/>
      <c r="B24" s="75"/>
      <c r="C24" s="75"/>
      <c r="D24" s="75"/>
      <c r="E24" s="644" t="s">
        <v>45</v>
      </c>
      <c r="F24" s="644"/>
      <c r="G24" s="80"/>
      <c r="H24" s="80"/>
      <c r="I24" s="66"/>
      <c r="J24" s="66"/>
    </row>
    <row r="25" spans="1:11">
      <c r="A25" s="75"/>
      <c r="B25" s="76"/>
      <c r="C25" s="76"/>
      <c r="D25" s="76"/>
      <c r="E25" s="27"/>
      <c r="F25" s="27"/>
      <c r="G25" s="27"/>
      <c r="H25" s="27"/>
      <c r="I25" s="66"/>
      <c r="J25" s="66"/>
    </row>
    <row r="26" spans="1:11">
      <c r="A26" s="645" t="s">
        <v>31</v>
      </c>
      <c r="B26" s="645"/>
      <c r="C26" s="645"/>
      <c r="D26" s="645"/>
      <c r="E26" s="643"/>
      <c r="F26" s="643"/>
      <c r="G26" s="66"/>
      <c r="H26" s="66" t="s">
        <v>43</v>
      </c>
      <c r="I26" s="14"/>
      <c r="J26" s="14"/>
    </row>
    <row r="27" spans="1:11">
      <c r="B27" s="643"/>
      <c r="C27" s="643"/>
      <c r="D27" s="643"/>
      <c r="E27" s="644" t="s">
        <v>46</v>
      </c>
      <c r="F27" s="644"/>
      <c r="G27" s="14"/>
      <c r="H27" s="1"/>
      <c r="I27" s="66"/>
      <c r="J27" s="66"/>
    </row>
    <row r="28" spans="1:11">
      <c r="B28" s="26"/>
      <c r="C28" s="26"/>
      <c r="D28" s="26"/>
      <c r="E28" s="27"/>
      <c r="F28" s="27"/>
      <c r="G28" s="14"/>
      <c r="H28" s="1"/>
      <c r="I28" s="66"/>
      <c r="J28" s="66"/>
    </row>
    <row r="29" spans="1:11">
      <c r="A29" s="645" t="s">
        <v>31</v>
      </c>
      <c r="B29" s="645"/>
      <c r="C29" s="645"/>
      <c r="D29" s="645"/>
      <c r="E29" s="643"/>
      <c r="F29" s="643"/>
      <c r="G29" s="66"/>
      <c r="H29" s="66" t="s">
        <v>35</v>
      </c>
      <c r="I29" s="66"/>
      <c r="J29" s="66"/>
      <c r="K29" s="66"/>
    </row>
    <row r="30" spans="1:11">
      <c r="B30" s="643"/>
      <c r="C30" s="643"/>
      <c r="D30" s="643"/>
      <c r="E30" s="644" t="s">
        <v>45</v>
      </c>
      <c r="F30" s="644"/>
      <c r="G30" s="66"/>
      <c r="H30" s="66" t="s">
        <v>41</v>
      </c>
      <c r="I30" s="66"/>
      <c r="J30" s="77"/>
      <c r="K30" s="77"/>
    </row>
    <row r="31" spans="1:11">
      <c r="B31" s="26"/>
      <c r="C31" s="26"/>
      <c r="D31" s="26"/>
      <c r="E31" s="27"/>
      <c r="F31" s="27"/>
      <c r="G31" s="66"/>
      <c r="H31" s="66"/>
      <c r="I31" s="66"/>
      <c r="J31" s="77"/>
      <c r="K31" s="77"/>
    </row>
    <row r="32" spans="1:11">
      <c r="A32" s="645" t="s">
        <v>32</v>
      </c>
      <c r="B32" s="645"/>
      <c r="C32" s="645"/>
      <c r="D32" s="645"/>
      <c r="E32" s="643"/>
      <c r="F32" s="643"/>
      <c r="G32" s="66"/>
      <c r="H32" s="66" t="s">
        <v>36</v>
      </c>
      <c r="I32" s="66"/>
      <c r="J32" s="66"/>
      <c r="K32" s="66"/>
    </row>
    <row r="33" spans="2:11">
      <c r="B33" s="643"/>
      <c r="C33" s="643"/>
      <c r="D33" s="643"/>
      <c r="E33" s="644" t="s">
        <v>45</v>
      </c>
      <c r="F33" s="644"/>
      <c r="G33" s="66"/>
      <c r="H33" s="66" t="s">
        <v>41</v>
      </c>
      <c r="I33" s="66"/>
      <c r="J33" s="77"/>
      <c r="K33" s="77"/>
    </row>
  </sheetData>
  <mergeCells count="62">
    <mergeCell ref="B30:D30"/>
    <mergeCell ref="E30:F30"/>
    <mergeCell ref="A32:D32"/>
    <mergeCell ref="E32:F32"/>
    <mergeCell ref="B33:D33"/>
    <mergeCell ref="E33:F33"/>
    <mergeCell ref="A26:D26"/>
    <mergeCell ref="E26:F26"/>
    <mergeCell ref="B27:D27"/>
    <mergeCell ref="E27:F27"/>
    <mergeCell ref="A29:D29"/>
    <mergeCell ref="E29:F29"/>
    <mergeCell ref="E24:F24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46"/>
  <sheetViews>
    <sheetView zoomScaleNormal="100" workbookViewId="0">
      <selection activeCell="A38" sqref="A38:L38"/>
    </sheetView>
  </sheetViews>
  <sheetFormatPr defaultRowHeight="18"/>
  <cols>
    <col min="1" max="1" width="9.7109375" style="68" customWidth="1"/>
    <col min="2" max="2" width="6.5703125" style="68" customWidth="1"/>
    <col min="3" max="3" width="3.42578125" style="68" customWidth="1"/>
    <col min="4" max="4" width="9.5703125" style="68" customWidth="1"/>
    <col min="5" max="5" width="8.7109375" style="68" customWidth="1"/>
    <col min="6" max="6" width="3.5703125" style="68" customWidth="1"/>
    <col min="7" max="7" width="4" style="68" customWidth="1"/>
    <col min="8" max="8" width="23.140625" style="68" customWidth="1"/>
    <col min="9" max="9" width="17.7109375" style="68" customWidth="1"/>
    <col min="10" max="10" width="12.85546875" style="68" bestFit="1" customWidth="1"/>
    <col min="11" max="11" width="17.42578125" style="68" customWidth="1"/>
    <col min="12" max="12" width="8.140625" style="68" customWidth="1"/>
  </cols>
  <sheetData>
    <row r="1" spans="1:12" s="39" customFormat="1" ht="22.5" customHeight="1">
      <c r="A1" s="679" t="s">
        <v>40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474" t="s">
        <v>39</v>
      </c>
    </row>
    <row r="2" spans="1:12" s="39" customFormat="1" ht="22.5" customHeight="1">
      <c r="A2" s="554" t="s">
        <v>260</v>
      </c>
      <c r="B2" s="680" t="s">
        <v>28</v>
      </c>
      <c r="C2" s="680"/>
      <c r="D2" s="680"/>
      <c r="E2" s="681" t="s">
        <v>288</v>
      </c>
      <c r="F2" s="681"/>
      <c r="G2" s="681"/>
      <c r="H2" s="681"/>
      <c r="I2" s="681"/>
      <c r="J2" s="681"/>
      <c r="K2" s="681"/>
      <c r="L2" s="681"/>
    </row>
    <row r="3" spans="1:12" s="39" customFormat="1" ht="22.5" customHeight="1">
      <c r="A3" s="554" t="s">
        <v>260</v>
      </c>
      <c r="B3" s="541" t="s">
        <v>0</v>
      </c>
      <c r="C3" s="541"/>
      <c r="D3" s="541"/>
      <c r="E3" s="542" t="str">
        <f>+'ปร.4 ปรับปรุง (Waste)'!D3</f>
        <v>สำนักงานปรมาณูเพื่อสันติ  กรุงเทพฯ</v>
      </c>
      <c r="F3" s="542"/>
      <c r="G3" s="542"/>
      <c r="H3" s="542"/>
      <c r="I3" s="542"/>
      <c r="J3" s="543"/>
      <c r="K3" s="682"/>
      <c r="L3" s="682"/>
    </row>
    <row r="4" spans="1:12" s="39" customFormat="1" ht="22.5" customHeight="1">
      <c r="A4" s="554" t="s">
        <v>260</v>
      </c>
      <c r="B4" s="544" t="s">
        <v>1</v>
      </c>
      <c r="C4" s="544"/>
      <c r="D4" s="544"/>
      <c r="E4" s="545"/>
      <c r="F4" s="542"/>
      <c r="G4" s="542"/>
      <c r="H4" s="542"/>
      <c r="I4" s="542"/>
      <c r="J4" s="542"/>
      <c r="K4" s="542"/>
      <c r="L4" s="542"/>
    </row>
    <row r="5" spans="1:12" s="39" customFormat="1" ht="22.5" customHeight="1">
      <c r="A5" s="554" t="s">
        <v>260</v>
      </c>
      <c r="B5" s="683" t="s">
        <v>29</v>
      </c>
      <c r="C5" s="683"/>
      <c r="D5" s="683"/>
      <c r="E5" s="683"/>
      <c r="F5" s="683"/>
      <c r="G5" s="683"/>
      <c r="H5" s="683"/>
      <c r="I5" s="546" t="s">
        <v>11</v>
      </c>
      <c r="J5" s="540"/>
      <c r="K5" s="684" t="s">
        <v>12</v>
      </c>
      <c r="L5" s="684"/>
    </row>
    <row r="6" spans="1:12" s="39" customFormat="1" ht="22.5" customHeight="1">
      <c r="A6" s="554" t="s">
        <v>260</v>
      </c>
      <c r="B6" s="530" t="s">
        <v>289</v>
      </c>
      <c r="C6" s="542"/>
      <c r="D6" s="542"/>
      <c r="E6" s="542"/>
      <c r="F6" s="547"/>
      <c r="G6" s="547"/>
      <c r="H6" s="547"/>
      <c r="I6" s="547"/>
      <c r="J6" s="547"/>
      <c r="K6" s="660" t="s">
        <v>27</v>
      </c>
      <c r="L6" s="660"/>
    </row>
    <row r="7" spans="1:12" s="39" customFormat="1" ht="22.5" customHeight="1" thickBot="1">
      <c r="A7" s="356"/>
      <c r="B7" s="356"/>
      <c r="C7" s="357"/>
      <c r="D7" s="357"/>
      <c r="E7" s="357"/>
      <c r="F7" s="357"/>
      <c r="G7" s="357"/>
      <c r="H7" s="357"/>
      <c r="I7" s="357"/>
      <c r="J7" s="357"/>
      <c r="K7" s="357"/>
      <c r="L7" s="357"/>
    </row>
    <row r="8" spans="1:12" s="39" customFormat="1" ht="22.5" customHeight="1" thickTop="1">
      <c r="A8" s="661" t="s">
        <v>3</v>
      </c>
      <c r="B8" s="663" t="s">
        <v>4</v>
      </c>
      <c r="C8" s="664"/>
      <c r="D8" s="664"/>
      <c r="E8" s="664"/>
      <c r="F8" s="664"/>
      <c r="G8" s="664"/>
      <c r="H8" s="664"/>
      <c r="I8" s="358" t="s">
        <v>22</v>
      </c>
      <c r="J8" s="667" t="s">
        <v>25</v>
      </c>
      <c r="K8" s="359" t="s">
        <v>19</v>
      </c>
      <c r="L8" s="661" t="s">
        <v>5</v>
      </c>
    </row>
    <row r="9" spans="1:12" s="39" customFormat="1" ht="22.5" customHeight="1">
      <c r="A9" s="662"/>
      <c r="B9" s="665"/>
      <c r="C9" s="666"/>
      <c r="D9" s="666"/>
      <c r="E9" s="666"/>
      <c r="F9" s="666"/>
      <c r="G9" s="666"/>
      <c r="H9" s="666"/>
      <c r="I9" s="360" t="s">
        <v>20</v>
      </c>
      <c r="J9" s="668"/>
      <c r="K9" s="361" t="s">
        <v>20</v>
      </c>
      <c r="L9" s="662"/>
    </row>
    <row r="10" spans="1:12" s="39" customFormat="1" ht="22.5" customHeight="1">
      <c r="A10" s="335">
        <v>1</v>
      </c>
      <c r="B10" s="670" t="s">
        <v>191</v>
      </c>
      <c r="C10" s="670"/>
      <c r="D10" s="670"/>
      <c r="E10" s="670"/>
      <c r="F10" s="670"/>
      <c r="G10" s="670"/>
      <c r="H10" s="670"/>
      <c r="I10" s="362"/>
      <c r="J10" s="363"/>
      <c r="K10" s="362"/>
      <c r="L10" s="335"/>
    </row>
    <row r="11" spans="1:12" s="39" customFormat="1" ht="22.5" customHeight="1">
      <c r="A11" s="364">
        <v>1.1000000000000001</v>
      </c>
      <c r="B11" s="362" t="s">
        <v>94</v>
      </c>
      <c r="C11" s="362"/>
      <c r="D11" s="362"/>
      <c r="E11" s="362"/>
      <c r="F11" s="362"/>
      <c r="G11" s="362"/>
      <c r="H11" s="362"/>
      <c r="I11" s="390">
        <f>ROUND('ปร.4 ปรับปรุง '!K19,2)</f>
        <v>0</v>
      </c>
      <c r="J11" s="365"/>
      <c r="K11" s="390">
        <f>ROUND((I11*J11),2)</f>
        <v>0</v>
      </c>
      <c r="L11" s="362"/>
    </row>
    <row r="12" spans="1:12" s="39" customFormat="1" ht="22.5" customHeight="1">
      <c r="A12" s="364"/>
      <c r="B12" s="362" t="s">
        <v>102</v>
      </c>
      <c r="C12" s="366"/>
      <c r="D12" s="366"/>
      <c r="E12" s="366"/>
      <c r="F12" s="366"/>
      <c r="G12" s="366"/>
      <c r="H12" s="366"/>
      <c r="I12" s="367"/>
      <c r="J12" s="365"/>
      <c r="K12" s="390"/>
      <c r="L12" s="362"/>
    </row>
    <row r="13" spans="1:12" s="39" customFormat="1" ht="22.5" customHeight="1">
      <c r="A13" s="364"/>
      <c r="B13" s="366" t="s">
        <v>108</v>
      </c>
      <c r="C13" s="366"/>
      <c r="D13" s="366"/>
      <c r="E13" s="366"/>
      <c r="F13" s="366"/>
      <c r="G13" s="366"/>
      <c r="H13" s="366"/>
      <c r="I13" s="367"/>
      <c r="J13" s="365"/>
      <c r="K13" s="390"/>
      <c r="L13" s="362"/>
    </row>
    <row r="14" spans="1:12" s="39" customFormat="1" ht="22.5" customHeight="1">
      <c r="A14" s="364">
        <v>1.2</v>
      </c>
      <c r="B14" s="669" t="s">
        <v>77</v>
      </c>
      <c r="C14" s="669" t="s">
        <v>94</v>
      </c>
      <c r="D14" s="669" t="s">
        <v>94</v>
      </c>
      <c r="E14" s="669" t="s">
        <v>94</v>
      </c>
      <c r="F14" s="669" t="s">
        <v>94</v>
      </c>
      <c r="G14" s="669" t="s">
        <v>94</v>
      </c>
      <c r="H14" s="669" t="s">
        <v>94</v>
      </c>
      <c r="I14" s="367">
        <f>ROUND('ปร.4 ปรับปรุง '!K31,2)</f>
        <v>0</v>
      </c>
      <c r="J14" s="365"/>
      <c r="K14" s="390">
        <f>ROUND((I14*J14),2)</f>
        <v>0</v>
      </c>
      <c r="L14" s="362"/>
    </row>
    <row r="15" spans="1:12" s="39" customFormat="1" ht="22.5" customHeight="1">
      <c r="A15" s="364"/>
      <c r="B15" s="366" t="s">
        <v>100</v>
      </c>
      <c r="C15" s="366"/>
      <c r="D15" s="366"/>
      <c r="E15" s="366"/>
      <c r="F15" s="366"/>
      <c r="G15" s="366"/>
      <c r="H15" s="366"/>
      <c r="I15" s="367"/>
      <c r="J15" s="365"/>
      <c r="K15" s="390"/>
      <c r="L15" s="362"/>
    </row>
    <row r="16" spans="1:12" s="39" customFormat="1" ht="22.5" customHeight="1">
      <c r="A16" s="364"/>
      <c r="B16" s="676" t="s">
        <v>96</v>
      </c>
      <c r="C16" s="677"/>
      <c r="D16" s="677"/>
      <c r="E16" s="677"/>
      <c r="F16" s="677"/>
      <c r="G16" s="677"/>
      <c r="H16" s="678"/>
      <c r="I16" s="367"/>
      <c r="J16" s="365"/>
      <c r="K16" s="390"/>
      <c r="L16" s="362"/>
    </row>
    <row r="17" spans="1:12" s="39" customFormat="1" ht="22.5" customHeight="1">
      <c r="A17" s="364">
        <v>1.3</v>
      </c>
      <c r="B17" s="362" t="s">
        <v>91</v>
      </c>
      <c r="C17" s="362"/>
      <c r="D17" s="362"/>
      <c r="E17" s="362"/>
      <c r="F17" s="362"/>
      <c r="G17" s="362"/>
      <c r="H17" s="362"/>
      <c r="I17" s="367">
        <f>ROUND('ปร.4 ปรับปรุง '!K40,2)</f>
        <v>0</v>
      </c>
      <c r="J17" s="365"/>
      <c r="K17" s="390">
        <f>ROUND((I17*J17),2)</f>
        <v>0</v>
      </c>
      <c r="L17" s="362"/>
    </row>
    <row r="18" spans="1:12" s="39" customFormat="1" ht="22.5" customHeight="1">
      <c r="A18" s="364"/>
      <c r="B18" s="366" t="s">
        <v>107</v>
      </c>
      <c r="C18" s="366"/>
      <c r="D18" s="366"/>
      <c r="E18" s="366"/>
      <c r="F18" s="366"/>
      <c r="G18" s="366"/>
      <c r="H18" s="366"/>
      <c r="I18" s="367"/>
      <c r="J18" s="365"/>
      <c r="K18" s="390"/>
      <c r="L18" s="362"/>
    </row>
    <row r="19" spans="1:12" s="39" customFormat="1" ht="22.5" customHeight="1">
      <c r="A19" s="364"/>
      <c r="B19" s="676" t="s">
        <v>106</v>
      </c>
      <c r="C19" s="677"/>
      <c r="D19" s="677"/>
      <c r="E19" s="677"/>
      <c r="F19" s="677"/>
      <c r="G19" s="677"/>
      <c r="H19" s="678"/>
      <c r="I19" s="367"/>
      <c r="J19" s="365"/>
      <c r="K19" s="390"/>
      <c r="L19" s="362"/>
    </row>
    <row r="20" spans="1:12" s="39" customFormat="1" ht="22.5" customHeight="1">
      <c r="A20" s="364">
        <v>1.4</v>
      </c>
      <c r="B20" s="362" t="s">
        <v>105</v>
      </c>
      <c r="C20" s="362"/>
      <c r="D20" s="362"/>
      <c r="E20" s="362"/>
      <c r="F20" s="362"/>
      <c r="G20" s="362"/>
      <c r="H20" s="362"/>
      <c r="I20" s="367">
        <f>ROUND('ปร.4 ปรับปรุง '!K49,2)</f>
        <v>0</v>
      </c>
      <c r="J20" s="365"/>
      <c r="K20" s="390">
        <f>ROUND((I20*J20),2)</f>
        <v>0</v>
      </c>
      <c r="L20" s="362"/>
    </row>
    <row r="21" spans="1:12" s="39" customFormat="1" ht="22.5" customHeight="1">
      <c r="A21" s="364"/>
      <c r="B21" s="366" t="s">
        <v>107</v>
      </c>
      <c r="C21" s="366"/>
      <c r="D21" s="366"/>
      <c r="E21" s="366"/>
      <c r="F21" s="366"/>
      <c r="G21" s="366"/>
      <c r="H21" s="366"/>
      <c r="I21" s="367"/>
      <c r="J21" s="365"/>
      <c r="K21" s="390"/>
      <c r="L21" s="362"/>
    </row>
    <row r="22" spans="1:12" s="39" customFormat="1" ht="22.5" customHeight="1">
      <c r="A22" s="364"/>
      <c r="B22" s="676" t="s">
        <v>106</v>
      </c>
      <c r="C22" s="677"/>
      <c r="D22" s="677"/>
      <c r="E22" s="677"/>
      <c r="F22" s="677"/>
      <c r="G22" s="677"/>
      <c r="H22" s="678"/>
      <c r="I22" s="367"/>
      <c r="J22" s="365"/>
      <c r="K22" s="390"/>
      <c r="L22" s="362"/>
    </row>
    <row r="23" spans="1:12" s="39" customFormat="1" ht="22.5" customHeight="1">
      <c r="A23" s="364">
        <v>1.5</v>
      </c>
      <c r="B23" s="362" t="s">
        <v>104</v>
      </c>
      <c r="C23" s="362"/>
      <c r="D23" s="362"/>
      <c r="E23" s="362"/>
      <c r="F23" s="362"/>
      <c r="G23" s="362"/>
      <c r="H23" s="362"/>
      <c r="I23" s="367">
        <f>ROUND('ปร.4 ปรับปรุง '!K53,)</f>
        <v>0</v>
      </c>
      <c r="J23" s="365"/>
      <c r="K23" s="390">
        <f>ROUND((I23*J23),2)</f>
        <v>0</v>
      </c>
      <c r="L23" s="362"/>
    </row>
    <row r="24" spans="1:12" s="39" customFormat="1" ht="22.5" customHeight="1">
      <c r="A24" s="364"/>
      <c r="B24" s="366" t="s">
        <v>101</v>
      </c>
      <c r="C24" s="366"/>
      <c r="D24" s="366"/>
      <c r="E24" s="366"/>
      <c r="F24" s="366"/>
      <c r="G24" s="366"/>
      <c r="H24" s="366"/>
      <c r="I24" s="367"/>
      <c r="J24" s="365"/>
      <c r="K24" s="390"/>
      <c r="L24" s="362"/>
    </row>
    <row r="25" spans="1:12" s="39" customFormat="1" ht="22.5" customHeight="1">
      <c r="A25" s="364">
        <v>1.6</v>
      </c>
      <c r="B25" s="676" t="s">
        <v>206</v>
      </c>
      <c r="C25" s="677"/>
      <c r="D25" s="677"/>
      <c r="E25" s="677"/>
      <c r="F25" s="677"/>
      <c r="G25" s="677"/>
      <c r="H25" s="678"/>
      <c r="I25" s="367">
        <f>ROUND('ปร.4 ปรับปรุง '!K54,2)</f>
        <v>0</v>
      </c>
      <c r="J25" s="365"/>
      <c r="K25" s="390">
        <f>ROUND((I25*J25),2)</f>
        <v>0</v>
      </c>
      <c r="L25" s="362"/>
    </row>
    <row r="26" spans="1:12" s="39" customFormat="1" ht="22.5" customHeight="1">
      <c r="A26" s="364"/>
      <c r="B26" s="671" t="s">
        <v>56</v>
      </c>
      <c r="C26" s="671"/>
      <c r="D26" s="671"/>
      <c r="E26" s="671"/>
      <c r="F26" s="671"/>
      <c r="G26" s="671"/>
      <c r="H26" s="671"/>
      <c r="I26" s="368"/>
      <c r="J26" s="362"/>
      <c r="K26" s="369"/>
      <c r="L26" s="362"/>
    </row>
    <row r="27" spans="1:12" s="39" customFormat="1" ht="22.5" customHeight="1">
      <c r="A27" s="370"/>
      <c r="B27" s="672" t="s">
        <v>57</v>
      </c>
      <c r="C27" s="673"/>
      <c r="D27" s="673"/>
      <c r="E27" s="673"/>
      <c r="F27" s="673"/>
      <c r="G27" s="673"/>
      <c r="H27" s="673"/>
      <c r="I27" s="371"/>
      <c r="J27" s="372"/>
      <c r="K27" s="373"/>
      <c r="L27" s="372"/>
    </row>
    <row r="28" spans="1:12" s="39" customFormat="1" ht="22.5" customHeight="1">
      <c r="A28" s="374"/>
      <c r="B28" s="674" t="s">
        <v>277</v>
      </c>
      <c r="C28" s="675"/>
      <c r="D28" s="675"/>
      <c r="E28" s="675"/>
      <c r="F28" s="675"/>
      <c r="G28" s="675"/>
      <c r="H28" s="675"/>
      <c r="I28" s="375"/>
      <c r="J28" s="375"/>
      <c r="K28" s="373"/>
      <c r="L28" s="375"/>
    </row>
    <row r="29" spans="1:12" s="39" customFormat="1" ht="22.5" customHeight="1">
      <c r="A29" s="375"/>
      <c r="B29" s="654" t="s">
        <v>284</v>
      </c>
      <c r="C29" s="655"/>
      <c r="D29" s="655"/>
      <c r="E29" s="655"/>
      <c r="F29" s="655"/>
      <c r="G29" s="655"/>
      <c r="H29" s="656"/>
      <c r="I29" s="375"/>
      <c r="J29" s="375"/>
      <c r="K29" s="376"/>
      <c r="L29" s="375"/>
    </row>
    <row r="30" spans="1:12" s="39" customFormat="1" ht="22.5" customHeight="1" thickBot="1">
      <c r="A30" s="377"/>
      <c r="B30" s="657" t="s">
        <v>58</v>
      </c>
      <c r="C30" s="658"/>
      <c r="D30" s="658"/>
      <c r="E30" s="658"/>
      <c r="F30" s="658"/>
      <c r="G30" s="658"/>
      <c r="H30" s="659"/>
      <c r="I30" s="377"/>
      <c r="J30" s="377"/>
      <c r="K30" s="378"/>
      <c r="L30" s="377"/>
    </row>
    <row r="31" spans="1:12" s="39" customFormat="1" ht="22.5" customHeight="1" thickTop="1">
      <c r="A31" s="646" t="s">
        <v>21</v>
      </c>
      <c r="B31" s="647"/>
      <c r="C31" s="647"/>
      <c r="D31" s="647"/>
      <c r="E31" s="647"/>
      <c r="F31" s="647"/>
      <c r="G31" s="647"/>
      <c r="H31" s="647"/>
      <c r="I31" s="648"/>
      <c r="J31" s="649"/>
      <c r="K31" s="379">
        <f>SUM(K11:K30)</f>
        <v>0</v>
      </c>
      <c r="L31" s="380"/>
    </row>
    <row r="32" spans="1:12" s="39" customFormat="1" ht="22.5" customHeight="1">
      <c r="A32" s="651" t="str">
        <f>"("&amp;BAHTTEXT(K31)&amp;")"</f>
        <v>(ศูนย์บาทถ้วน)</v>
      </c>
      <c r="B32" s="651"/>
      <c r="C32" s="651"/>
      <c r="D32" s="651"/>
      <c r="E32" s="651"/>
      <c r="F32" s="651"/>
      <c r="G32" s="651"/>
      <c r="H32" s="651"/>
      <c r="I32" s="651"/>
      <c r="J32" s="651"/>
      <c r="K32" s="651"/>
      <c r="L32" s="651"/>
    </row>
    <row r="33" spans="1:13" ht="22.5" customHeight="1">
      <c r="A33" s="381"/>
      <c r="B33" s="381"/>
      <c r="C33" s="381"/>
      <c r="D33" s="381"/>
      <c r="E33" s="381"/>
      <c r="F33" s="381"/>
      <c r="G33" s="381"/>
      <c r="H33" s="381"/>
      <c r="I33" s="381"/>
      <c r="J33" s="381"/>
      <c r="K33" s="382"/>
      <c r="L33" s="381"/>
      <c r="M33" s="111"/>
    </row>
    <row r="34" spans="1:13" ht="22.5" customHeight="1">
      <c r="A34" s="381"/>
      <c r="B34" s="381"/>
      <c r="C34" s="381"/>
      <c r="D34" s="381"/>
      <c r="E34" s="381"/>
      <c r="F34" s="381"/>
      <c r="G34" s="381"/>
      <c r="H34" s="381"/>
      <c r="I34" s="381"/>
      <c r="J34" s="381"/>
      <c r="K34" s="382"/>
      <c r="L34" s="381"/>
      <c r="M34" s="111"/>
    </row>
    <row r="35" spans="1:13" ht="22.5" customHeight="1">
      <c r="A35" s="381"/>
      <c r="B35" s="381"/>
      <c r="C35" s="381"/>
      <c r="D35" s="381"/>
      <c r="E35" s="381"/>
      <c r="F35" s="381"/>
      <c r="G35" s="381"/>
      <c r="H35" s="381"/>
      <c r="I35" s="381"/>
      <c r="J35" s="381"/>
      <c r="K35" s="382"/>
      <c r="L35" s="381"/>
      <c r="M35" s="111"/>
    </row>
    <row r="36" spans="1:13" s="39" customFormat="1" ht="22.5" customHeight="1">
      <c r="A36" s="650"/>
      <c r="B36" s="650"/>
      <c r="C36" s="650"/>
      <c r="D36" s="650"/>
      <c r="E36" s="650"/>
      <c r="F36" s="650"/>
      <c r="G36" s="650"/>
      <c r="H36" s="650"/>
      <c r="I36" s="650"/>
      <c r="J36" s="650"/>
      <c r="K36" s="650"/>
      <c r="L36" s="650"/>
    </row>
    <row r="37" spans="1:13" s="39" customFormat="1" ht="22.5" customHeight="1">
      <c r="A37" s="650"/>
      <c r="B37" s="650"/>
      <c r="C37" s="650"/>
      <c r="D37" s="650"/>
      <c r="E37" s="650"/>
      <c r="F37" s="650"/>
      <c r="G37" s="650"/>
      <c r="H37" s="650"/>
      <c r="I37" s="650"/>
      <c r="J37" s="650"/>
      <c r="K37" s="650"/>
      <c r="L37" s="650"/>
    </row>
    <row r="38" spans="1:13" s="39" customFormat="1" ht="22.5" customHeight="1">
      <c r="A38" s="650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</row>
    <row r="39" spans="1:13" s="39" customFormat="1" ht="22.5" customHeight="1">
      <c r="A39" s="650"/>
      <c r="B39" s="650"/>
      <c r="C39" s="650"/>
      <c r="D39" s="650"/>
      <c r="E39" s="650"/>
      <c r="F39" s="650"/>
      <c r="G39" s="650"/>
      <c r="H39" s="650"/>
      <c r="I39" s="650"/>
      <c r="J39" s="650"/>
      <c r="K39" s="650"/>
      <c r="L39" s="650"/>
    </row>
    <row r="40" spans="1:13" s="39" customFormat="1" ht="22.5" customHeight="1">
      <c r="A40" s="650"/>
      <c r="B40" s="650"/>
      <c r="C40" s="650"/>
      <c r="D40" s="650"/>
      <c r="E40" s="650"/>
      <c r="F40" s="650"/>
      <c r="G40" s="650"/>
      <c r="H40" s="650"/>
      <c r="I40" s="650"/>
      <c r="J40" s="650"/>
      <c r="K40" s="650"/>
      <c r="L40" s="650"/>
    </row>
    <row r="41" spans="1:13" s="39" customFormat="1" ht="22.5" customHeight="1">
      <c r="A41" s="643"/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</row>
    <row r="42" spans="1:13" s="39" customFormat="1" ht="22.5" customHeight="1">
      <c r="A42" s="643"/>
      <c r="B42" s="643"/>
      <c r="C42" s="643"/>
      <c r="D42" s="643"/>
      <c r="E42" s="643"/>
      <c r="F42" s="643"/>
      <c r="G42" s="643"/>
      <c r="H42" s="643"/>
      <c r="I42" s="643"/>
      <c r="J42" s="643"/>
      <c r="K42" s="643"/>
      <c r="L42" s="643"/>
    </row>
    <row r="43" spans="1:13" s="39" customFormat="1" ht="22.5" customHeight="1">
      <c r="A43" s="643"/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</row>
    <row r="44" spans="1:13" s="39" customFormat="1" ht="22.5" customHeight="1">
      <c r="A44" s="643"/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</row>
    <row r="45" spans="1:13" s="39" customFormat="1" ht="22.5" customHeight="1">
      <c r="A45" s="653"/>
      <c r="B45" s="653"/>
      <c r="C45" s="653"/>
      <c r="D45" s="653"/>
      <c r="E45" s="653"/>
      <c r="F45" s="653"/>
      <c r="G45" s="653"/>
      <c r="H45" s="653"/>
      <c r="I45" s="653"/>
      <c r="J45" s="653"/>
      <c r="K45" s="653"/>
      <c r="L45" s="653"/>
    </row>
    <row r="46" spans="1:13" s="39" customFormat="1" ht="22.5" customHeight="1">
      <c r="A46" s="67"/>
      <c r="B46" s="643"/>
      <c r="C46" s="643"/>
      <c r="D46" s="643"/>
      <c r="E46" s="643"/>
      <c r="F46" s="643"/>
      <c r="G46" s="643"/>
      <c r="H46" s="643"/>
      <c r="I46" s="643"/>
      <c r="J46" s="652"/>
      <c r="K46" s="652"/>
      <c r="L46" s="652"/>
    </row>
  </sheetData>
  <mergeCells count="37">
    <mergeCell ref="A1:K1"/>
    <mergeCell ref="B2:D2"/>
    <mergeCell ref="E2:L2"/>
    <mergeCell ref="K3:L3"/>
    <mergeCell ref="B5:H5"/>
    <mergeCell ref="K5:L5"/>
    <mergeCell ref="B29:H29"/>
    <mergeCell ref="B30:H30"/>
    <mergeCell ref="K6:L6"/>
    <mergeCell ref="A8:A9"/>
    <mergeCell ref="B8:H9"/>
    <mergeCell ref="J8:J9"/>
    <mergeCell ref="L8:L9"/>
    <mergeCell ref="B14:H14"/>
    <mergeCell ref="B10:H10"/>
    <mergeCell ref="B26:H26"/>
    <mergeCell ref="B27:H27"/>
    <mergeCell ref="B28:H28"/>
    <mergeCell ref="B16:H16"/>
    <mergeCell ref="B19:H19"/>
    <mergeCell ref="B22:H22"/>
    <mergeCell ref="B25:H25"/>
    <mergeCell ref="B46:F46"/>
    <mergeCell ref="G46:I46"/>
    <mergeCell ref="J46:L46"/>
    <mergeCell ref="A39:L39"/>
    <mergeCell ref="A40:L40"/>
    <mergeCell ref="A44:L44"/>
    <mergeCell ref="A45:L45"/>
    <mergeCell ref="A31:J31"/>
    <mergeCell ref="A41:L41"/>
    <mergeCell ref="A42:L42"/>
    <mergeCell ref="A43:L43"/>
    <mergeCell ref="A36:L36"/>
    <mergeCell ref="A37:L37"/>
    <mergeCell ref="A38:L38"/>
    <mergeCell ref="A32:L32"/>
  </mergeCells>
  <pageMargins left="0.70866141732283472" right="0.39370078740157483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Q36"/>
  <sheetViews>
    <sheetView zoomScale="90" zoomScaleNormal="90" workbookViewId="0">
      <selection activeCell="H6" sqref="H6"/>
    </sheetView>
  </sheetViews>
  <sheetFormatPr defaultColWidth="9.140625" defaultRowHeight="20.25"/>
  <cols>
    <col min="1" max="1" width="9.7109375" style="39" customWidth="1"/>
    <col min="2" max="2" width="6.5703125" style="39" customWidth="1"/>
    <col min="3" max="3" width="3.42578125" style="39" customWidth="1"/>
    <col min="4" max="4" width="9.5703125" style="39" customWidth="1"/>
    <col min="5" max="5" width="8.7109375" style="39" customWidth="1"/>
    <col min="6" max="6" width="3.5703125" style="39" customWidth="1"/>
    <col min="7" max="7" width="4" style="39" customWidth="1"/>
    <col min="8" max="8" width="11.85546875" style="39" customWidth="1"/>
    <col min="9" max="9" width="20.140625" style="39" customWidth="1"/>
    <col min="10" max="10" width="12.42578125" style="39" bestFit="1" customWidth="1"/>
    <col min="11" max="11" width="21.140625" style="39" bestFit="1" customWidth="1"/>
    <col min="12" max="12" width="12.5703125" style="39" customWidth="1"/>
    <col min="13" max="13" width="9.140625" style="39"/>
    <col min="14" max="14" width="21.7109375" style="39" bestFit="1" customWidth="1"/>
    <col min="15" max="15" width="23.140625" style="39" bestFit="1" customWidth="1"/>
    <col min="16" max="16" width="35.85546875" style="39" bestFit="1" customWidth="1"/>
    <col min="17" max="17" width="23.42578125" style="39" bestFit="1" customWidth="1"/>
    <col min="18" max="16384" width="9.140625" style="39"/>
  </cols>
  <sheetData>
    <row r="1" spans="1:17" ht="31.5" customHeight="1">
      <c r="A1" s="616" t="s">
        <v>40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473" t="s">
        <v>204</v>
      </c>
    </row>
    <row r="2" spans="1:17" ht="31.5" customHeight="1">
      <c r="A2" s="554" t="s">
        <v>260</v>
      </c>
      <c r="B2" s="617" t="s">
        <v>28</v>
      </c>
      <c r="C2" s="617"/>
      <c r="D2" s="617"/>
      <c r="E2" s="618" t="s">
        <v>288</v>
      </c>
      <c r="F2" s="618"/>
      <c r="G2" s="618"/>
      <c r="H2" s="618"/>
      <c r="I2" s="618"/>
      <c r="J2" s="618"/>
      <c r="K2" s="618"/>
      <c r="L2" s="618"/>
    </row>
    <row r="3" spans="1:17" ht="31.5" customHeight="1">
      <c r="A3" s="554" t="s">
        <v>260</v>
      </c>
      <c r="B3" s="532" t="s">
        <v>0</v>
      </c>
      <c r="C3" s="532"/>
      <c r="D3" s="532"/>
      <c r="E3" s="533" t="str">
        <f>+'ปร.4 ปรับปรุง (Waste)'!D3</f>
        <v>สำนักงานปรมาณูเพื่อสันติ  กรุงเทพฯ</v>
      </c>
      <c r="F3" s="533"/>
      <c r="G3" s="533"/>
      <c r="H3" s="533"/>
      <c r="I3" s="533"/>
      <c r="J3" s="534"/>
      <c r="K3" s="699"/>
      <c r="L3" s="699"/>
    </row>
    <row r="4" spans="1:17" ht="31.5" customHeight="1">
      <c r="A4" s="554" t="s">
        <v>260</v>
      </c>
      <c r="B4" s="535" t="s">
        <v>1</v>
      </c>
      <c r="C4" s="535"/>
      <c r="D4" s="535"/>
      <c r="E4" s="536"/>
      <c r="F4" s="533"/>
      <c r="G4" s="533"/>
      <c r="H4" s="533"/>
      <c r="I4" s="533"/>
      <c r="J4" s="533"/>
      <c r="K4" s="533"/>
      <c r="L4" s="533"/>
    </row>
    <row r="5" spans="1:17" ht="31.5" customHeight="1">
      <c r="A5" s="554" t="s">
        <v>260</v>
      </c>
      <c r="B5" s="606" t="s">
        <v>29</v>
      </c>
      <c r="C5" s="606"/>
      <c r="D5" s="606"/>
      <c r="E5" s="606"/>
      <c r="F5" s="606"/>
      <c r="G5" s="606"/>
      <c r="H5" s="606"/>
      <c r="I5" s="537" t="s">
        <v>11</v>
      </c>
      <c r="J5" s="531"/>
      <c r="K5" s="607" t="s">
        <v>12</v>
      </c>
      <c r="L5" s="607"/>
    </row>
    <row r="6" spans="1:17" ht="31.5" customHeight="1">
      <c r="A6" s="554" t="s">
        <v>260</v>
      </c>
      <c r="B6" s="538" t="s">
        <v>289</v>
      </c>
      <c r="C6" s="533"/>
      <c r="D6" s="533"/>
      <c r="E6" s="533"/>
      <c r="F6" s="539"/>
      <c r="G6" s="539"/>
      <c r="H6" s="539"/>
      <c r="I6" s="539"/>
      <c r="J6" s="539"/>
      <c r="K6" s="609" t="s">
        <v>27</v>
      </c>
      <c r="L6" s="609"/>
    </row>
    <row r="7" spans="1:17" ht="31.5" customHeight="1" thickBot="1">
      <c r="A7" s="450"/>
      <c r="B7" s="450"/>
      <c r="C7" s="451"/>
      <c r="D7" s="451"/>
      <c r="E7" s="451"/>
      <c r="F7" s="451"/>
      <c r="G7" s="451"/>
      <c r="H7" s="451"/>
      <c r="I7" s="451"/>
      <c r="J7" s="451"/>
      <c r="K7" s="451"/>
      <c r="L7" s="451"/>
    </row>
    <row r="8" spans="1:17" ht="31.5" customHeight="1" thickTop="1">
      <c r="A8" s="700" t="s">
        <v>3</v>
      </c>
      <c r="B8" s="702" t="s">
        <v>4</v>
      </c>
      <c r="C8" s="703"/>
      <c r="D8" s="703"/>
      <c r="E8" s="703"/>
      <c r="F8" s="703"/>
      <c r="G8" s="703"/>
      <c r="H8" s="703"/>
      <c r="I8" s="452" t="s">
        <v>22</v>
      </c>
      <c r="J8" s="706" t="s">
        <v>54</v>
      </c>
      <c r="K8" s="453" t="s">
        <v>19</v>
      </c>
      <c r="L8" s="700" t="s">
        <v>5</v>
      </c>
    </row>
    <row r="9" spans="1:17" ht="31.5" customHeight="1">
      <c r="A9" s="701"/>
      <c r="B9" s="704"/>
      <c r="C9" s="705"/>
      <c r="D9" s="705"/>
      <c r="E9" s="705"/>
      <c r="F9" s="705"/>
      <c r="G9" s="705"/>
      <c r="H9" s="705"/>
      <c r="I9" s="454" t="s">
        <v>20</v>
      </c>
      <c r="J9" s="707"/>
      <c r="K9" s="454" t="s">
        <v>20</v>
      </c>
      <c r="L9" s="701"/>
    </row>
    <row r="10" spans="1:17" s="328" customFormat="1" ht="31.5" customHeight="1">
      <c r="A10" s="455">
        <v>2</v>
      </c>
      <c r="B10" s="690" t="s">
        <v>190</v>
      </c>
      <c r="C10" s="690"/>
      <c r="D10" s="690"/>
      <c r="E10" s="690"/>
      <c r="F10" s="690"/>
      <c r="G10" s="690"/>
      <c r="H10" s="690"/>
      <c r="I10" s="456"/>
      <c r="J10" s="456"/>
      <c r="K10" s="456"/>
      <c r="L10" s="456"/>
      <c r="N10" s="329"/>
    </row>
    <row r="11" spans="1:17" s="328" customFormat="1" ht="31.5" customHeight="1">
      <c r="A11" s="457">
        <v>2.1</v>
      </c>
      <c r="B11" s="698" t="s">
        <v>193</v>
      </c>
      <c r="C11" s="698"/>
      <c r="D11" s="698"/>
      <c r="E11" s="698"/>
      <c r="F11" s="698"/>
      <c r="G11" s="698"/>
      <c r="H11" s="698"/>
      <c r="I11" s="458">
        <f>ROUND('ปร.4 งานครุภัณฑ์และจัดซื้อ'!K53,2)</f>
        <v>0</v>
      </c>
      <c r="J11" s="459">
        <v>1.07</v>
      </c>
      <c r="K11" s="458">
        <f>ROUND(I11*J11,2)</f>
        <v>0</v>
      </c>
      <c r="L11" s="456"/>
      <c r="N11" s="329"/>
      <c r="O11" s="330"/>
      <c r="Q11" s="331"/>
    </row>
    <row r="12" spans="1:17" s="328" customFormat="1" ht="31.5" customHeight="1">
      <c r="A12" s="457">
        <v>2.2000000000000002</v>
      </c>
      <c r="B12" s="691" t="s">
        <v>194</v>
      </c>
      <c r="C12" s="692"/>
      <c r="D12" s="692"/>
      <c r="E12" s="692"/>
      <c r="F12" s="692"/>
      <c r="G12" s="692"/>
      <c r="H12" s="693"/>
      <c r="I12" s="460">
        <f>ROUND('ปร.4 งานครุภัณฑ์และจัดซื้อ'!K68,2)</f>
        <v>0</v>
      </c>
      <c r="J12" s="459">
        <v>1.07</v>
      </c>
      <c r="K12" s="458">
        <f>ROUND(I12*J12,2)</f>
        <v>0</v>
      </c>
      <c r="L12" s="456"/>
      <c r="N12" s="561"/>
      <c r="O12" s="332"/>
      <c r="P12" s="329"/>
      <c r="Q12" s="333"/>
    </row>
    <row r="13" spans="1:17" s="328" customFormat="1" ht="31.5" customHeight="1">
      <c r="A13" s="457"/>
      <c r="B13" s="691" t="s">
        <v>14</v>
      </c>
      <c r="C13" s="692"/>
      <c r="D13" s="692"/>
      <c r="E13" s="692"/>
      <c r="F13" s="692"/>
      <c r="G13" s="692"/>
      <c r="H13" s="693"/>
      <c r="I13" s="460">
        <f>ROUND('ปร.4 งานครุภัณฑ์และจัดซื้อ'!K69,2)</f>
        <v>0</v>
      </c>
      <c r="J13" s="459">
        <v>1.07</v>
      </c>
      <c r="K13" s="458">
        <f>ROUND(I13*J13,2)</f>
        <v>0</v>
      </c>
      <c r="L13" s="456"/>
      <c r="N13" s="560"/>
      <c r="O13" s="332"/>
      <c r="P13" s="329"/>
      <c r="Q13" s="333"/>
    </row>
    <row r="14" spans="1:17" s="328" customFormat="1" ht="31.5" customHeight="1">
      <c r="A14" s="456"/>
      <c r="B14" s="694" t="s">
        <v>56</v>
      </c>
      <c r="C14" s="694"/>
      <c r="D14" s="694"/>
      <c r="E14" s="694"/>
      <c r="F14" s="694"/>
      <c r="G14" s="694"/>
      <c r="H14" s="694"/>
      <c r="I14" s="456"/>
      <c r="J14" s="456"/>
      <c r="K14" s="461"/>
      <c r="L14" s="456"/>
      <c r="N14" s="462"/>
      <c r="O14" s="332"/>
      <c r="P14" s="329"/>
      <c r="Q14" s="333"/>
    </row>
    <row r="15" spans="1:17" s="328" customFormat="1" ht="31.5" customHeight="1">
      <c r="A15" s="456"/>
      <c r="B15" s="695" t="s">
        <v>57</v>
      </c>
      <c r="C15" s="696"/>
      <c r="D15" s="696"/>
      <c r="E15" s="696"/>
      <c r="F15" s="696"/>
      <c r="G15" s="696"/>
      <c r="H15" s="697"/>
      <c r="I15" s="456"/>
      <c r="J15" s="456"/>
      <c r="K15" s="461"/>
      <c r="L15" s="456"/>
    </row>
    <row r="16" spans="1:17" s="328" customFormat="1" ht="31.5" customHeight="1">
      <c r="A16" s="456"/>
      <c r="B16" s="695" t="s">
        <v>277</v>
      </c>
      <c r="C16" s="696"/>
      <c r="D16" s="696"/>
      <c r="E16" s="696"/>
      <c r="F16" s="696"/>
      <c r="G16" s="696"/>
      <c r="H16" s="697"/>
      <c r="I16" s="456"/>
      <c r="J16" s="456"/>
      <c r="K16" s="461"/>
      <c r="L16" s="456"/>
    </row>
    <row r="17" spans="1:12" s="328" customFormat="1" ht="31.5" customHeight="1">
      <c r="A17" s="456"/>
      <c r="B17" s="695" t="s">
        <v>284</v>
      </c>
      <c r="C17" s="696"/>
      <c r="D17" s="696"/>
      <c r="E17" s="696"/>
      <c r="F17" s="696"/>
      <c r="G17" s="696"/>
      <c r="H17" s="697"/>
      <c r="I17" s="463"/>
      <c r="J17" s="456"/>
      <c r="K17" s="461"/>
      <c r="L17" s="456"/>
    </row>
    <row r="18" spans="1:12" s="328" customFormat="1" ht="31.5" customHeight="1">
      <c r="A18" s="456"/>
      <c r="B18" s="695" t="s">
        <v>58</v>
      </c>
      <c r="C18" s="696"/>
      <c r="D18" s="696"/>
      <c r="E18" s="696"/>
      <c r="F18" s="696"/>
      <c r="G18" s="696"/>
      <c r="H18" s="697"/>
      <c r="I18" s="463"/>
      <c r="J18" s="456"/>
      <c r="K18" s="461"/>
      <c r="L18" s="456"/>
    </row>
    <row r="19" spans="1:12" ht="31.5" customHeight="1">
      <c r="A19" s="686" t="s">
        <v>21</v>
      </c>
      <c r="B19" s="686"/>
      <c r="C19" s="686"/>
      <c r="D19" s="686"/>
      <c r="E19" s="686"/>
      <c r="F19" s="686"/>
      <c r="G19" s="686"/>
      <c r="H19" s="686"/>
      <c r="I19" s="686"/>
      <c r="J19" s="686"/>
      <c r="K19" s="464">
        <f>SUM(K13)</f>
        <v>0</v>
      </c>
      <c r="L19" s="456"/>
    </row>
    <row r="20" spans="1:12" ht="31.5" customHeight="1">
      <c r="A20" s="687" t="str">
        <f>"("&amp;BAHTTEXT(K19)&amp;")"</f>
        <v>(ศูนย์บาทถ้วน)</v>
      </c>
      <c r="B20" s="688"/>
      <c r="C20" s="688"/>
      <c r="D20" s="688"/>
      <c r="E20" s="688"/>
      <c r="F20" s="688"/>
      <c r="G20" s="688"/>
      <c r="H20" s="688"/>
      <c r="I20" s="688"/>
      <c r="J20" s="688"/>
      <c r="K20" s="688"/>
      <c r="L20" s="689"/>
    </row>
    <row r="21" spans="1:12" ht="22.5" customHeight="1">
      <c r="A21" s="327"/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</row>
    <row r="22" spans="1:12" ht="22.5" customHeight="1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</row>
    <row r="23" spans="1:12" ht="22.5" customHeight="1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</row>
    <row r="24" spans="1:12" ht="22.5" customHeight="1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</row>
    <row r="25" spans="1:12" ht="22.5" customHeight="1">
      <c r="A25" s="327"/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1"/>
    </row>
    <row r="26" spans="1:12" ht="22.5" customHeight="1">
      <c r="A26" s="327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</row>
    <row r="27" spans="1:12" ht="22.5" customHeight="1">
      <c r="A27" s="327"/>
      <c r="B27" s="642"/>
      <c r="C27" s="642"/>
      <c r="D27" s="642"/>
      <c r="E27" s="642"/>
      <c r="F27" s="642"/>
      <c r="G27" s="641"/>
      <c r="H27" s="641"/>
      <c r="I27" s="641"/>
      <c r="J27" s="685"/>
      <c r="K27" s="685"/>
      <c r="L27" s="685"/>
    </row>
    <row r="28" spans="1:12" ht="22.5" customHeight="1">
      <c r="A28" s="466"/>
      <c r="B28" s="641"/>
      <c r="C28" s="641"/>
      <c r="D28" s="641"/>
      <c r="E28" s="641"/>
      <c r="F28" s="641"/>
      <c r="G28" s="641"/>
      <c r="H28" s="641"/>
      <c r="I28" s="641"/>
      <c r="J28" s="685"/>
      <c r="K28" s="685"/>
      <c r="L28" s="685"/>
    </row>
    <row r="29" spans="1:12" ht="22.5" customHeight="1">
      <c r="A29" s="466"/>
      <c r="B29" s="334"/>
      <c r="C29" s="334"/>
      <c r="D29" s="334"/>
      <c r="E29" s="334"/>
      <c r="F29" s="334"/>
      <c r="G29" s="334"/>
      <c r="H29" s="334"/>
      <c r="I29" s="334"/>
      <c r="J29" s="465"/>
      <c r="K29" s="465"/>
      <c r="L29" s="465"/>
    </row>
    <row r="30" spans="1:12" ht="22.5" customHeight="1">
      <c r="A30" s="467"/>
      <c r="B30" s="642"/>
      <c r="C30" s="642"/>
      <c r="D30" s="642"/>
      <c r="E30" s="642"/>
      <c r="F30" s="642"/>
      <c r="G30" s="641"/>
      <c r="H30" s="641"/>
      <c r="I30" s="641"/>
      <c r="J30" s="685"/>
      <c r="K30" s="685"/>
      <c r="L30" s="685"/>
    </row>
    <row r="31" spans="1:12" ht="22.5" customHeight="1">
      <c r="A31" s="467"/>
      <c r="B31" s="641"/>
      <c r="C31" s="641"/>
      <c r="D31" s="641"/>
      <c r="E31" s="641"/>
      <c r="F31" s="641"/>
      <c r="G31" s="641"/>
      <c r="H31" s="641"/>
      <c r="I31" s="641"/>
      <c r="J31" s="685"/>
      <c r="K31" s="685"/>
      <c r="L31" s="685"/>
    </row>
    <row r="32" spans="1:12" ht="22.5" customHeight="1"/>
    <row r="33" ht="22.5" customHeight="1"/>
    <row r="34" ht="22.5" customHeight="1"/>
    <row r="35" ht="22.5" customHeight="1"/>
    <row r="36" ht="22.5" customHeight="1"/>
  </sheetData>
  <mergeCells count="40"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  <mergeCell ref="B10:H10"/>
    <mergeCell ref="B12:H12"/>
    <mergeCell ref="B14:H14"/>
    <mergeCell ref="B25:F25"/>
    <mergeCell ref="G25:I25"/>
    <mergeCell ref="B18:H18"/>
    <mergeCell ref="B15:H15"/>
    <mergeCell ref="B16:H16"/>
    <mergeCell ref="B17:H17"/>
    <mergeCell ref="B11:H11"/>
    <mergeCell ref="B13:H13"/>
    <mergeCell ref="J25:L25"/>
    <mergeCell ref="A19:J19"/>
    <mergeCell ref="B21:F21"/>
    <mergeCell ref="G21:I21"/>
    <mergeCell ref="J21:L21"/>
    <mergeCell ref="A20:L20"/>
    <mergeCell ref="B27:F27"/>
    <mergeCell ref="G27:I27"/>
    <mergeCell ref="J27:L27"/>
    <mergeCell ref="B31:F31"/>
    <mergeCell ref="G31:I31"/>
    <mergeCell ref="J31:L31"/>
    <mergeCell ref="B28:F28"/>
    <mergeCell ref="G28:I28"/>
    <mergeCell ref="J28:L28"/>
    <mergeCell ref="B30:F30"/>
    <mergeCell ref="G30:I30"/>
    <mergeCell ref="J30:L30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W83"/>
  <sheetViews>
    <sheetView tabSelected="1" showRuler="0" topLeftCell="A48" zoomScale="90" zoomScaleNormal="90" zoomScalePageLayoutView="76" workbookViewId="0">
      <selection activeCell="D57" sqref="D57"/>
    </sheetView>
  </sheetViews>
  <sheetFormatPr defaultColWidth="9.140625" defaultRowHeight="19.5"/>
  <cols>
    <col min="1" max="1" width="6.5703125" style="383" customWidth="1"/>
    <col min="2" max="2" width="9.140625" style="383" customWidth="1"/>
    <col min="3" max="3" width="9.7109375" style="383" customWidth="1"/>
    <col min="4" max="4" width="38.140625" style="383" customWidth="1"/>
    <col min="5" max="5" width="12.140625" style="383" bestFit="1" customWidth="1"/>
    <col min="6" max="6" width="8.7109375" style="383" customWidth="1"/>
    <col min="7" max="11" width="15.85546875" style="383" customWidth="1"/>
    <col min="12" max="12" width="12.28515625" style="383" customWidth="1"/>
    <col min="13" max="24" width="9.140625" style="383" customWidth="1"/>
    <col min="25" max="16384" width="9.140625" style="383"/>
  </cols>
  <sheetData>
    <row r="1" spans="1:23" ht="33.75" customHeight="1">
      <c r="A1" s="679" t="s">
        <v>23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</row>
    <row r="2" spans="1:23" ht="22.5" customHeight="1">
      <c r="A2" s="569" t="s">
        <v>33</v>
      </c>
      <c r="B2" s="569"/>
      <c r="C2" s="595"/>
      <c r="D2" s="709" t="s">
        <v>288</v>
      </c>
      <c r="E2" s="709"/>
      <c r="F2" s="709"/>
      <c r="G2" s="709"/>
      <c r="H2" s="709"/>
      <c r="I2" s="709"/>
      <c r="J2" s="709"/>
      <c r="K2" s="709"/>
      <c r="L2" s="709"/>
    </row>
    <row r="3" spans="1:23" ht="22.5" customHeight="1">
      <c r="A3" s="721" t="s">
        <v>0</v>
      </c>
      <c r="B3" s="721"/>
      <c r="C3" s="721"/>
      <c r="D3" s="569" t="s">
        <v>48</v>
      </c>
      <c r="E3" s="569"/>
      <c r="F3" s="569"/>
      <c r="G3" s="569"/>
      <c r="H3" s="569"/>
      <c r="I3" s="569"/>
      <c r="J3" s="569"/>
      <c r="K3" s="569"/>
      <c r="L3" s="571"/>
    </row>
    <row r="4" spans="1:23" ht="22.5" customHeight="1">
      <c r="A4" s="721" t="s">
        <v>7</v>
      </c>
      <c r="B4" s="721"/>
      <c r="C4" s="721"/>
      <c r="D4" s="721"/>
      <c r="E4" s="721"/>
      <c r="F4" s="721"/>
      <c r="G4" s="721"/>
      <c r="H4" s="530"/>
      <c r="I4" s="530"/>
      <c r="J4" s="596"/>
      <c r="K4" s="596"/>
      <c r="L4" s="597"/>
    </row>
    <row r="5" spans="1:23" ht="22.5" customHeight="1">
      <c r="A5" s="722" t="s">
        <v>3</v>
      </c>
      <c r="B5" s="722" t="s">
        <v>4</v>
      </c>
      <c r="C5" s="722"/>
      <c r="D5" s="722"/>
      <c r="E5" s="725" t="s">
        <v>11</v>
      </c>
      <c r="F5" s="722" t="s">
        <v>13</v>
      </c>
      <c r="G5" s="723" t="s">
        <v>18</v>
      </c>
      <c r="H5" s="723"/>
      <c r="I5" s="723" t="s">
        <v>15</v>
      </c>
      <c r="J5" s="723"/>
      <c r="K5" s="724" t="s">
        <v>17</v>
      </c>
      <c r="L5" s="722" t="s">
        <v>5</v>
      </c>
    </row>
    <row r="6" spans="1:23" ht="25.5" customHeight="1">
      <c r="A6" s="722"/>
      <c r="B6" s="722"/>
      <c r="C6" s="722"/>
      <c r="D6" s="722"/>
      <c r="E6" s="725"/>
      <c r="F6" s="722"/>
      <c r="G6" s="326" t="s">
        <v>24</v>
      </c>
      <c r="H6" s="326" t="s">
        <v>16</v>
      </c>
      <c r="I6" s="326" t="s">
        <v>24</v>
      </c>
      <c r="J6" s="326" t="s">
        <v>16</v>
      </c>
      <c r="K6" s="724"/>
      <c r="L6" s="722"/>
    </row>
    <row r="7" spans="1:23" ht="27" customHeight="1">
      <c r="A7" s="335"/>
      <c r="B7" s="710" t="s">
        <v>205</v>
      </c>
      <c r="C7" s="711"/>
      <c r="D7" s="712"/>
      <c r="E7" s="393"/>
      <c r="F7" s="335"/>
      <c r="G7" s="326"/>
      <c r="H7" s="326"/>
      <c r="I7" s="326"/>
      <c r="J7" s="326"/>
      <c r="K7" s="392"/>
      <c r="L7" s="335"/>
    </row>
    <row r="8" spans="1:23" ht="24" customHeight="1">
      <c r="A8" s="335">
        <v>2.1</v>
      </c>
      <c r="B8" s="710" t="s">
        <v>193</v>
      </c>
      <c r="C8" s="711"/>
      <c r="D8" s="712"/>
      <c r="E8" s="393"/>
      <c r="F8" s="335"/>
      <c r="G8" s="326"/>
      <c r="H8" s="326"/>
      <c r="I8" s="326"/>
      <c r="J8" s="326"/>
      <c r="K8" s="392"/>
      <c r="L8" s="335"/>
    </row>
    <row r="9" spans="1:23" ht="21" customHeight="1">
      <c r="A9" s="710" t="s">
        <v>60</v>
      </c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2"/>
    </row>
    <row r="10" spans="1:23" s="418" customFormat="1" ht="21.75" customHeight="1">
      <c r="A10" s="410">
        <v>1</v>
      </c>
      <c r="B10" s="411" t="s">
        <v>61</v>
      </c>
      <c r="C10" s="411"/>
      <c r="D10" s="411"/>
      <c r="E10" s="412">
        <v>2</v>
      </c>
      <c r="F10" s="410" t="s">
        <v>50</v>
      </c>
      <c r="G10" s="598"/>
      <c r="H10" s="413">
        <f>ROUND(SUM(G10)*$E10,2)</f>
        <v>0</v>
      </c>
      <c r="I10" s="390"/>
      <c r="J10" s="413">
        <f>SUM(I10)*$E10</f>
        <v>0</v>
      </c>
      <c r="K10" s="413">
        <f>H10</f>
        <v>0</v>
      </c>
      <c r="L10" s="415"/>
    </row>
    <row r="11" spans="1:23" s="382" customFormat="1" ht="21.75" customHeight="1">
      <c r="A11" s="385">
        <v>2</v>
      </c>
      <c r="B11" s="384" t="s">
        <v>87</v>
      </c>
      <c r="C11" s="384"/>
      <c r="D11" s="384"/>
      <c r="E11" s="390">
        <v>1</v>
      </c>
      <c r="F11" s="420" t="s">
        <v>50</v>
      </c>
      <c r="G11" s="598"/>
      <c r="H11" s="413">
        <f t="shared" ref="H11:H52" si="0">ROUND(SUM(G11)*$E11,2)</f>
        <v>0</v>
      </c>
      <c r="I11" s="390"/>
      <c r="J11" s="413">
        <f>SUM(I11)*$E11</f>
        <v>0</v>
      </c>
      <c r="K11" s="413">
        <f t="shared" ref="K11:K52" si="1">H11</f>
        <v>0</v>
      </c>
      <c r="L11" s="415"/>
      <c r="W11" s="418"/>
    </row>
    <row r="12" spans="1:23" s="382" customFormat="1" ht="21.75" customHeight="1">
      <c r="A12" s="385">
        <v>3</v>
      </c>
      <c r="B12" s="384" t="s">
        <v>212</v>
      </c>
      <c r="C12" s="384"/>
      <c r="D12" s="384"/>
      <c r="E12" s="390">
        <v>1</v>
      </c>
      <c r="F12" s="420" t="s">
        <v>50</v>
      </c>
      <c r="G12" s="598"/>
      <c r="H12" s="413">
        <f t="shared" si="0"/>
        <v>0</v>
      </c>
      <c r="I12" s="390"/>
      <c r="J12" s="413">
        <f t="shared" ref="J12:J15" si="2">SUM(I12)*$E12</f>
        <v>0</v>
      </c>
      <c r="K12" s="413">
        <f t="shared" si="1"/>
        <v>0</v>
      </c>
      <c r="L12" s="415"/>
      <c r="W12" s="418"/>
    </row>
    <row r="13" spans="1:23" s="382" customFormat="1" ht="21.75" customHeight="1">
      <c r="A13" s="385">
        <v>4</v>
      </c>
      <c r="B13" s="384" t="s">
        <v>63</v>
      </c>
      <c r="C13" s="384"/>
      <c r="D13" s="384"/>
      <c r="E13" s="390">
        <v>4</v>
      </c>
      <c r="F13" s="420" t="s">
        <v>50</v>
      </c>
      <c r="G13" s="598"/>
      <c r="H13" s="413">
        <f t="shared" si="0"/>
        <v>0</v>
      </c>
      <c r="I13" s="390"/>
      <c r="J13" s="413">
        <f t="shared" si="2"/>
        <v>0</v>
      </c>
      <c r="K13" s="413">
        <f t="shared" si="1"/>
        <v>0</v>
      </c>
      <c r="L13" s="415"/>
      <c r="W13" s="418"/>
    </row>
    <row r="14" spans="1:23" s="382" customFormat="1" ht="21.75" customHeight="1">
      <c r="A14" s="385">
        <v>5</v>
      </c>
      <c r="B14" s="391" t="s">
        <v>213</v>
      </c>
      <c r="C14" s="391"/>
      <c r="D14" s="391"/>
      <c r="E14" s="390">
        <v>1</v>
      </c>
      <c r="F14" s="420" t="s">
        <v>50</v>
      </c>
      <c r="G14" s="598"/>
      <c r="H14" s="413">
        <f t="shared" si="0"/>
        <v>0</v>
      </c>
      <c r="I14" s="390"/>
      <c r="J14" s="413">
        <f t="shared" si="2"/>
        <v>0</v>
      </c>
      <c r="K14" s="413">
        <f t="shared" si="1"/>
        <v>0</v>
      </c>
      <c r="L14" s="415"/>
      <c r="W14" s="418"/>
    </row>
    <row r="15" spans="1:23" s="382" customFormat="1" ht="21.75" customHeight="1">
      <c r="A15" s="385">
        <v>6</v>
      </c>
      <c r="B15" s="391" t="s">
        <v>214</v>
      </c>
      <c r="C15" s="391"/>
      <c r="D15" s="391"/>
      <c r="E15" s="390">
        <v>2</v>
      </c>
      <c r="F15" s="420" t="s">
        <v>50</v>
      </c>
      <c r="G15" s="598"/>
      <c r="H15" s="413">
        <f>ROUND(SUM(G15)*$E15,2)</f>
        <v>0</v>
      </c>
      <c r="I15" s="390"/>
      <c r="J15" s="413">
        <f t="shared" si="2"/>
        <v>0</v>
      </c>
      <c r="K15" s="413">
        <f t="shared" si="1"/>
        <v>0</v>
      </c>
      <c r="L15" s="415"/>
      <c r="W15" s="418"/>
    </row>
    <row r="16" spans="1:23" s="382" customFormat="1" ht="21.75" customHeight="1">
      <c r="A16" s="385">
        <v>7</v>
      </c>
      <c r="B16" s="391" t="s">
        <v>215</v>
      </c>
      <c r="C16" s="391"/>
      <c r="D16" s="391"/>
      <c r="E16" s="390">
        <v>1</v>
      </c>
      <c r="F16" s="420" t="s">
        <v>50</v>
      </c>
      <c r="G16" s="598"/>
      <c r="H16" s="413">
        <f t="shared" si="0"/>
        <v>0</v>
      </c>
      <c r="I16" s="390"/>
      <c r="J16" s="413">
        <f t="shared" ref="J16:J30" si="3">SUM(I16)*$E16</f>
        <v>0</v>
      </c>
      <c r="K16" s="413">
        <f t="shared" si="1"/>
        <v>0</v>
      </c>
      <c r="L16" s="415"/>
      <c r="W16" s="418"/>
    </row>
    <row r="17" spans="1:23" s="382" customFormat="1" ht="21.75" customHeight="1">
      <c r="A17" s="385">
        <v>8</v>
      </c>
      <c r="B17" s="726" t="s">
        <v>286</v>
      </c>
      <c r="C17" s="727"/>
      <c r="D17" s="728"/>
      <c r="E17" s="390">
        <v>12</v>
      </c>
      <c r="F17" s="420" t="s">
        <v>50</v>
      </c>
      <c r="G17" s="598"/>
      <c r="H17" s="413">
        <f t="shared" si="0"/>
        <v>0</v>
      </c>
      <c r="I17" s="390"/>
      <c r="J17" s="413">
        <f t="shared" si="3"/>
        <v>0</v>
      </c>
      <c r="K17" s="413">
        <f t="shared" si="1"/>
        <v>0</v>
      </c>
      <c r="L17" s="415"/>
      <c r="W17" s="418"/>
    </row>
    <row r="18" spans="1:23" s="382" customFormat="1" ht="21.75" customHeight="1">
      <c r="A18" s="385">
        <v>9</v>
      </c>
      <c r="B18" s="714" t="s">
        <v>216</v>
      </c>
      <c r="C18" s="714"/>
      <c r="D18" s="714"/>
      <c r="E18" s="390">
        <v>1</v>
      </c>
      <c r="F18" s="420" t="s">
        <v>50</v>
      </c>
      <c r="G18" s="598"/>
      <c r="H18" s="413">
        <f t="shared" si="0"/>
        <v>0</v>
      </c>
      <c r="I18" s="390"/>
      <c r="J18" s="413">
        <f t="shared" si="3"/>
        <v>0</v>
      </c>
      <c r="K18" s="413">
        <f t="shared" si="1"/>
        <v>0</v>
      </c>
      <c r="L18" s="415"/>
      <c r="W18" s="418"/>
    </row>
    <row r="19" spans="1:23" s="382" customFormat="1" ht="24.6" customHeight="1">
      <c r="A19" s="385">
        <v>10</v>
      </c>
      <c r="B19" s="391" t="s">
        <v>272</v>
      </c>
      <c r="C19" s="391"/>
      <c r="D19" s="391"/>
      <c r="E19" s="390">
        <v>1</v>
      </c>
      <c r="F19" s="420" t="s">
        <v>50</v>
      </c>
      <c r="G19" s="598"/>
      <c r="H19" s="413">
        <f t="shared" si="0"/>
        <v>0</v>
      </c>
      <c r="I19" s="390"/>
      <c r="J19" s="413">
        <f t="shared" si="3"/>
        <v>0</v>
      </c>
      <c r="K19" s="413">
        <f t="shared" si="1"/>
        <v>0</v>
      </c>
      <c r="L19" s="415"/>
      <c r="W19" s="418"/>
    </row>
    <row r="20" spans="1:23" s="382" customFormat="1" ht="24.6" customHeight="1">
      <c r="A20" s="385">
        <v>11</v>
      </c>
      <c r="B20" s="391" t="s">
        <v>66</v>
      </c>
      <c r="C20" s="391"/>
      <c r="D20" s="391"/>
      <c r="E20" s="390">
        <v>1</v>
      </c>
      <c r="F20" s="420" t="s">
        <v>50</v>
      </c>
      <c r="G20" s="598"/>
      <c r="H20" s="413">
        <f t="shared" si="0"/>
        <v>0</v>
      </c>
      <c r="I20" s="390"/>
      <c r="J20" s="413">
        <f t="shared" si="3"/>
        <v>0</v>
      </c>
      <c r="K20" s="413">
        <f t="shared" si="1"/>
        <v>0</v>
      </c>
      <c r="L20" s="415"/>
      <c r="W20" s="418"/>
    </row>
    <row r="21" spans="1:23" s="382" customFormat="1" ht="24.6" customHeight="1">
      <c r="A21" s="385">
        <v>12</v>
      </c>
      <c r="B21" s="391" t="s">
        <v>218</v>
      </c>
      <c r="C21" s="391"/>
      <c r="D21" s="391"/>
      <c r="E21" s="390">
        <v>1</v>
      </c>
      <c r="F21" s="420" t="s">
        <v>50</v>
      </c>
      <c r="G21" s="598"/>
      <c r="H21" s="413">
        <f t="shared" si="0"/>
        <v>0</v>
      </c>
      <c r="I21" s="390"/>
      <c r="J21" s="413">
        <f t="shared" si="3"/>
        <v>0</v>
      </c>
      <c r="K21" s="413">
        <f t="shared" si="1"/>
        <v>0</v>
      </c>
      <c r="L21" s="415"/>
      <c r="W21" s="418"/>
    </row>
    <row r="22" spans="1:23" s="382" customFormat="1" ht="24.6" customHeight="1">
      <c r="A22" s="385">
        <v>13</v>
      </c>
      <c r="B22" s="391" t="s">
        <v>68</v>
      </c>
      <c r="C22" s="391"/>
      <c r="D22" s="391"/>
      <c r="E22" s="390">
        <v>1</v>
      </c>
      <c r="F22" s="420" t="s">
        <v>50</v>
      </c>
      <c r="G22" s="598"/>
      <c r="H22" s="413">
        <f t="shared" si="0"/>
        <v>0</v>
      </c>
      <c r="I22" s="390"/>
      <c r="J22" s="413">
        <f t="shared" si="3"/>
        <v>0</v>
      </c>
      <c r="K22" s="413">
        <f t="shared" si="1"/>
        <v>0</v>
      </c>
      <c r="L22" s="415"/>
      <c r="W22" s="418"/>
    </row>
    <row r="23" spans="1:23" s="382" customFormat="1" ht="24.6" customHeight="1">
      <c r="A23" s="385">
        <v>14</v>
      </c>
      <c r="B23" s="391" t="s">
        <v>69</v>
      </c>
      <c r="C23" s="391"/>
      <c r="D23" s="391"/>
      <c r="E23" s="390">
        <v>1</v>
      </c>
      <c r="F23" s="420" t="s">
        <v>50</v>
      </c>
      <c r="G23" s="598"/>
      <c r="H23" s="413">
        <f t="shared" si="0"/>
        <v>0</v>
      </c>
      <c r="I23" s="390"/>
      <c r="J23" s="413">
        <f t="shared" si="3"/>
        <v>0</v>
      </c>
      <c r="K23" s="413">
        <f t="shared" si="1"/>
        <v>0</v>
      </c>
      <c r="L23" s="415"/>
      <c r="W23" s="418"/>
    </row>
    <row r="24" spans="1:23" s="382" customFormat="1" ht="24.6" customHeight="1">
      <c r="A24" s="385">
        <v>15</v>
      </c>
      <c r="B24" s="391" t="s">
        <v>70</v>
      </c>
      <c r="C24" s="391"/>
      <c r="D24" s="391"/>
      <c r="E24" s="390">
        <v>3</v>
      </c>
      <c r="F24" s="420" t="s">
        <v>50</v>
      </c>
      <c r="G24" s="598"/>
      <c r="H24" s="413">
        <f t="shared" si="0"/>
        <v>0</v>
      </c>
      <c r="I24" s="390"/>
      <c r="J24" s="413">
        <f t="shared" si="3"/>
        <v>0</v>
      </c>
      <c r="K24" s="413">
        <f t="shared" si="1"/>
        <v>0</v>
      </c>
      <c r="L24" s="415"/>
      <c r="W24" s="418"/>
    </row>
    <row r="25" spans="1:23" s="382" customFormat="1" ht="24.6" customHeight="1">
      <c r="A25" s="385">
        <v>16</v>
      </c>
      <c r="B25" s="391" t="s">
        <v>71</v>
      </c>
      <c r="C25" s="391"/>
      <c r="D25" s="391"/>
      <c r="E25" s="390">
        <v>3</v>
      </c>
      <c r="F25" s="385" t="s">
        <v>50</v>
      </c>
      <c r="G25" s="598"/>
      <c r="H25" s="413">
        <f t="shared" si="0"/>
        <v>0</v>
      </c>
      <c r="I25" s="390"/>
      <c r="J25" s="413">
        <f t="shared" si="3"/>
        <v>0</v>
      </c>
      <c r="K25" s="413">
        <f t="shared" si="1"/>
        <v>0</v>
      </c>
      <c r="L25" s="415"/>
      <c r="W25" s="418"/>
    </row>
    <row r="26" spans="1:23" s="382" customFormat="1" ht="24.6" customHeight="1">
      <c r="A26" s="385">
        <v>17</v>
      </c>
      <c r="B26" s="391" t="s">
        <v>219</v>
      </c>
      <c r="C26" s="391"/>
      <c r="D26" s="391"/>
      <c r="E26" s="390">
        <v>2</v>
      </c>
      <c r="F26" s="385" t="s">
        <v>50</v>
      </c>
      <c r="G26" s="598"/>
      <c r="H26" s="413">
        <f t="shared" si="0"/>
        <v>0</v>
      </c>
      <c r="I26" s="390"/>
      <c r="J26" s="413">
        <f t="shared" si="3"/>
        <v>0</v>
      </c>
      <c r="K26" s="413">
        <f t="shared" si="1"/>
        <v>0</v>
      </c>
      <c r="L26" s="415"/>
      <c r="W26" s="418"/>
    </row>
    <row r="27" spans="1:23" s="382" customFormat="1" ht="24.6" customHeight="1">
      <c r="A27" s="385">
        <v>18</v>
      </c>
      <c r="B27" s="391" t="s">
        <v>273</v>
      </c>
      <c r="C27" s="391"/>
      <c r="D27" s="391"/>
      <c r="E27" s="390">
        <v>4</v>
      </c>
      <c r="F27" s="385" t="s">
        <v>50</v>
      </c>
      <c r="G27" s="598"/>
      <c r="H27" s="413">
        <f t="shared" si="0"/>
        <v>0</v>
      </c>
      <c r="I27" s="390"/>
      <c r="J27" s="413">
        <f t="shared" si="3"/>
        <v>0</v>
      </c>
      <c r="K27" s="413">
        <f t="shared" si="1"/>
        <v>0</v>
      </c>
      <c r="L27" s="415"/>
      <c r="W27" s="418"/>
    </row>
    <row r="28" spans="1:23" s="382" customFormat="1" ht="24.6" customHeight="1">
      <c r="A28" s="385">
        <v>19</v>
      </c>
      <c r="B28" s="391" t="s">
        <v>63</v>
      </c>
      <c r="C28" s="391"/>
      <c r="D28" s="391"/>
      <c r="E28" s="390">
        <v>1</v>
      </c>
      <c r="F28" s="385" t="s">
        <v>50</v>
      </c>
      <c r="G28" s="598"/>
      <c r="H28" s="413">
        <f t="shared" si="0"/>
        <v>0</v>
      </c>
      <c r="I28" s="390"/>
      <c r="J28" s="413">
        <f t="shared" si="3"/>
        <v>0</v>
      </c>
      <c r="K28" s="413">
        <f t="shared" si="1"/>
        <v>0</v>
      </c>
      <c r="L28" s="415"/>
      <c r="W28" s="418"/>
    </row>
    <row r="29" spans="1:23" s="382" customFormat="1" ht="24.6" customHeight="1">
      <c r="A29" s="385">
        <v>20</v>
      </c>
      <c r="B29" s="391" t="s">
        <v>74</v>
      </c>
      <c r="C29" s="391"/>
      <c r="D29" s="391"/>
      <c r="E29" s="390">
        <v>1</v>
      </c>
      <c r="F29" s="385" t="s">
        <v>50</v>
      </c>
      <c r="G29" s="598"/>
      <c r="H29" s="413">
        <f t="shared" si="0"/>
        <v>0</v>
      </c>
      <c r="I29" s="390"/>
      <c r="J29" s="413">
        <f t="shared" si="3"/>
        <v>0</v>
      </c>
      <c r="K29" s="413">
        <f t="shared" si="1"/>
        <v>0</v>
      </c>
      <c r="L29" s="415"/>
      <c r="W29" s="418"/>
    </row>
    <row r="30" spans="1:23" s="382" customFormat="1" ht="24.6" customHeight="1">
      <c r="A30" s="385">
        <v>21</v>
      </c>
      <c r="B30" s="714" t="s">
        <v>220</v>
      </c>
      <c r="C30" s="714"/>
      <c r="D30" s="714"/>
      <c r="E30" s="390">
        <v>1</v>
      </c>
      <c r="F30" s="385" t="s">
        <v>52</v>
      </c>
      <c r="G30" s="598"/>
      <c r="H30" s="413">
        <f t="shared" si="0"/>
        <v>0</v>
      </c>
      <c r="I30" s="390"/>
      <c r="J30" s="413">
        <f t="shared" si="3"/>
        <v>0</v>
      </c>
      <c r="K30" s="413">
        <f t="shared" si="1"/>
        <v>0</v>
      </c>
      <c r="L30" s="415"/>
      <c r="W30" s="418"/>
    </row>
    <row r="31" spans="1:23" s="382" customFormat="1" ht="24.6" customHeight="1">
      <c r="A31" s="433" t="s">
        <v>207</v>
      </c>
      <c r="B31" s="433"/>
      <c r="C31" s="433"/>
      <c r="D31" s="433"/>
      <c r="E31" s="433"/>
      <c r="F31" s="433"/>
      <c r="G31" s="390"/>
      <c r="H31" s="335"/>
      <c r="I31" s="335"/>
      <c r="J31" s="335"/>
      <c r="K31" s="413">
        <v>0</v>
      </c>
      <c r="L31" s="433"/>
      <c r="W31" s="418"/>
    </row>
    <row r="32" spans="1:23" ht="24.6" customHeight="1">
      <c r="A32" s="410">
        <v>22</v>
      </c>
      <c r="B32" s="411" t="s">
        <v>221</v>
      </c>
      <c r="C32" s="411"/>
      <c r="D32" s="411"/>
      <c r="E32" s="412">
        <v>7</v>
      </c>
      <c r="F32" s="410" t="s">
        <v>50</v>
      </c>
      <c r="G32" s="598"/>
      <c r="H32" s="413">
        <f t="shared" si="0"/>
        <v>0</v>
      </c>
      <c r="I32" s="413"/>
      <c r="J32" s="413">
        <f t="shared" ref="J32" si="4">SUM(I32)*$E32</f>
        <v>0</v>
      </c>
      <c r="K32" s="413">
        <f t="shared" si="1"/>
        <v>0</v>
      </c>
      <c r="L32" s="424"/>
      <c r="W32" s="418"/>
    </row>
    <row r="33" spans="1:23" s="382" customFormat="1" ht="24.6" customHeight="1">
      <c r="A33" s="433" t="s">
        <v>91</v>
      </c>
      <c r="B33" s="433"/>
      <c r="C33" s="433"/>
      <c r="D33" s="433"/>
      <c r="E33" s="433"/>
      <c r="F33" s="433"/>
      <c r="G33" s="433"/>
      <c r="H33" s="335"/>
      <c r="I33" s="335"/>
      <c r="J33" s="335"/>
      <c r="K33" s="413">
        <v>0</v>
      </c>
      <c r="L33" s="433"/>
      <c r="W33" s="418"/>
    </row>
    <row r="34" spans="1:23" s="382" customFormat="1" ht="24.6" customHeight="1">
      <c r="A34" s="410">
        <v>23</v>
      </c>
      <c r="B34" s="411" t="s">
        <v>78</v>
      </c>
      <c r="C34" s="411"/>
      <c r="D34" s="411"/>
      <c r="E34" s="425">
        <v>1</v>
      </c>
      <c r="F34" s="420" t="s">
        <v>50</v>
      </c>
      <c r="G34" s="598"/>
      <c r="H34" s="413">
        <f t="shared" si="0"/>
        <v>0</v>
      </c>
      <c r="I34" s="426"/>
      <c r="J34" s="427">
        <f t="shared" ref="J34:J40" si="5">SUM(I34)*$E34</f>
        <v>0</v>
      </c>
      <c r="K34" s="413">
        <f t="shared" si="1"/>
        <v>0</v>
      </c>
      <c r="L34" s="429"/>
      <c r="W34" s="418"/>
    </row>
    <row r="35" spans="1:23" s="382" customFormat="1" ht="24.6" customHeight="1">
      <c r="A35" s="410">
        <v>24</v>
      </c>
      <c r="B35" s="411" t="s">
        <v>213</v>
      </c>
      <c r="C35" s="411"/>
      <c r="D35" s="411"/>
      <c r="E35" s="425">
        <v>2</v>
      </c>
      <c r="F35" s="420" t="s">
        <v>50</v>
      </c>
      <c r="G35" s="598"/>
      <c r="H35" s="413">
        <f t="shared" si="0"/>
        <v>0</v>
      </c>
      <c r="I35" s="426"/>
      <c r="J35" s="427">
        <f t="shared" si="5"/>
        <v>0</v>
      </c>
      <c r="K35" s="413">
        <f t="shared" si="1"/>
        <v>0</v>
      </c>
      <c r="L35" s="429"/>
      <c r="W35" s="418"/>
    </row>
    <row r="36" spans="1:23" s="382" customFormat="1" ht="24.6" customHeight="1">
      <c r="A36" s="410">
        <v>25</v>
      </c>
      <c r="B36" s="384" t="s">
        <v>222</v>
      </c>
      <c r="C36" s="384"/>
      <c r="D36" s="384"/>
      <c r="E36" s="390">
        <v>1</v>
      </c>
      <c r="F36" s="420" t="s">
        <v>50</v>
      </c>
      <c r="G36" s="598"/>
      <c r="H36" s="413">
        <f t="shared" si="0"/>
        <v>0</v>
      </c>
      <c r="I36" s="390"/>
      <c r="J36" s="427">
        <f t="shared" si="5"/>
        <v>0</v>
      </c>
      <c r="K36" s="413">
        <f t="shared" si="1"/>
        <v>0</v>
      </c>
      <c r="L36" s="385"/>
      <c r="W36" s="418"/>
    </row>
    <row r="37" spans="1:23" s="382" customFormat="1" ht="24.6" customHeight="1">
      <c r="A37" s="410">
        <v>26</v>
      </c>
      <c r="B37" s="384" t="s">
        <v>274</v>
      </c>
      <c r="C37" s="384"/>
      <c r="D37" s="384"/>
      <c r="E37" s="390">
        <v>1</v>
      </c>
      <c r="F37" s="420" t="s">
        <v>50</v>
      </c>
      <c r="G37" s="598"/>
      <c r="H37" s="413">
        <f t="shared" si="0"/>
        <v>0</v>
      </c>
      <c r="I37" s="390"/>
      <c r="J37" s="427">
        <f t="shared" si="5"/>
        <v>0</v>
      </c>
      <c r="K37" s="413">
        <f t="shared" si="1"/>
        <v>0</v>
      </c>
      <c r="L37" s="385"/>
      <c r="W37" s="418"/>
    </row>
    <row r="38" spans="1:23" s="382" customFormat="1" ht="24.6" customHeight="1">
      <c r="A38" s="410">
        <v>27</v>
      </c>
      <c r="B38" s="384" t="s">
        <v>68</v>
      </c>
      <c r="C38" s="433"/>
      <c r="D38" s="433"/>
      <c r="E38" s="390">
        <v>1</v>
      </c>
      <c r="F38" s="420" t="s">
        <v>50</v>
      </c>
      <c r="G38" s="598"/>
      <c r="H38" s="413">
        <f t="shared" si="0"/>
        <v>0</v>
      </c>
      <c r="I38" s="390"/>
      <c r="J38" s="427">
        <f t="shared" si="5"/>
        <v>0</v>
      </c>
      <c r="K38" s="413">
        <f t="shared" si="1"/>
        <v>0</v>
      </c>
      <c r="L38" s="385"/>
      <c r="W38" s="418"/>
    </row>
    <row r="39" spans="1:23" s="382" customFormat="1" ht="24.6" customHeight="1">
      <c r="A39" s="410">
        <v>28</v>
      </c>
      <c r="B39" s="714" t="s">
        <v>224</v>
      </c>
      <c r="C39" s="714"/>
      <c r="D39" s="714"/>
      <c r="E39" s="390">
        <v>1</v>
      </c>
      <c r="F39" s="420" t="s">
        <v>50</v>
      </c>
      <c r="G39" s="598"/>
      <c r="H39" s="413">
        <f t="shared" si="0"/>
        <v>0</v>
      </c>
      <c r="I39" s="390"/>
      <c r="J39" s="427">
        <f t="shared" si="5"/>
        <v>0</v>
      </c>
      <c r="K39" s="413">
        <f t="shared" si="1"/>
        <v>0</v>
      </c>
      <c r="L39" s="385"/>
      <c r="W39" s="418"/>
    </row>
    <row r="40" spans="1:23" s="382" customFormat="1" ht="24.6" customHeight="1">
      <c r="A40" s="410">
        <v>29</v>
      </c>
      <c r="B40" s="714" t="s">
        <v>53</v>
      </c>
      <c r="C40" s="714"/>
      <c r="D40" s="714"/>
      <c r="E40" s="390">
        <v>1</v>
      </c>
      <c r="F40" s="420" t="s">
        <v>50</v>
      </c>
      <c r="G40" s="598"/>
      <c r="H40" s="413">
        <f t="shared" si="0"/>
        <v>0</v>
      </c>
      <c r="I40" s="390"/>
      <c r="J40" s="427">
        <f t="shared" si="5"/>
        <v>0</v>
      </c>
      <c r="K40" s="413">
        <f t="shared" si="1"/>
        <v>0</v>
      </c>
      <c r="L40" s="385"/>
      <c r="W40" s="418"/>
    </row>
    <row r="41" spans="1:23" ht="24.6" customHeight="1">
      <c r="A41" s="433" t="s">
        <v>268</v>
      </c>
      <c r="B41" s="433"/>
      <c r="C41" s="433"/>
      <c r="D41" s="433"/>
      <c r="E41" s="433"/>
      <c r="F41" s="433"/>
      <c r="G41" s="433"/>
      <c r="H41" s="335"/>
      <c r="I41" s="335"/>
      <c r="J41" s="335"/>
      <c r="K41" s="413"/>
      <c r="L41" s="433"/>
      <c r="W41" s="418"/>
    </row>
    <row r="42" spans="1:23" ht="24.6" customHeight="1">
      <c r="A42" s="410">
        <v>30</v>
      </c>
      <c r="B42" s="411" t="s">
        <v>82</v>
      </c>
      <c r="C42" s="411"/>
      <c r="D42" s="411"/>
      <c r="E42" s="412">
        <v>1</v>
      </c>
      <c r="F42" s="410" t="s">
        <v>50</v>
      </c>
      <c r="G42" s="598"/>
      <c r="H42" s="413">
        <f t="shared" si="0"/>
        <v>0</v>
      </c>
      <c r="I42" s="390"/>
      <c r="J42" s="413">
        <f t="shared" ref="J42:J48" si="6">SUM(I42)*$E42</f>
        <v>0</v>
      </c>
      <c r="K42" s="413">
        <f t="shared" si="1"/>
        <v>0</v>
      </c>
      <c r="L42" s="429"/>
      <c r="W42" s="418"/>
    </row>
    <row r="43" spans="1:23" ht="24.6" customHeight="1">
      <c r="A43" s="410">
        <v>31</v>
      </c>
      <c r="B43" s="411" t="s">
        <v>225</v>
      </c>
      <c r="C43" s="411"/>
      <c r="D43" s="411"/>
      <c r="E43" s="412">
        <v>1</v>
      </c>
      <c r="F43" s="410" t="s">
        <v>50</v>
      </c>
      <c r="G43" s="598"/>
      <c r="H43" s="413">
        <f t="shared" si="0"/>
        <v>0</v>
      </c>
      <c r="I43" s="390"/>
      <c r="J43" s="413">
        <f t="shared" si="6"/>
        <v>0</v>
      </c>
      <c r="K43" s="413">
        <f t="shared" si="1"/>
        <v>0</v>
      </c>
      <c r="L43" s="429"/>
      <c r="W43" s="418"/>
    </row>
    <row r="44" spans="1:23" ht="24.6" customHeight="1">
      <c r="A44" s="410">
        <v>32</v>
      </c>
      <c r="B44" s="384" t="s">
        <v>92</v>
      </c>
      <c r="C44" s="384"/>
      <c r="D44" s="384"/>
      <c r="E44" s="390">
        <v>1</v>
      </c>
      <c r="F44" s="410" t="s">
        <v>50</v>
      </c>
      <c r="G44" s="598"/>
      <c r="H44" s="413">
        <f t="shared" si="0"/>
        <v>0</v>
      </c>
      <c r="I44" s="390"/>
      <c r="J44" s="413">
        <f t="shared" si="6"/>
        <v>0</v>
      </c>
      <c r="K44" s="413">
        <f t="shared" si="1"/>
        <v>0</v>
      </c>
      <c r="L44" s="385"/>
      <c r="W44" s="418"/>
    </row>
    <row r="45" spans="1:23" ht="24.6" customHeight="1">
      <c r="A45" s="410">
        <v>33</v>
      </c>
      <c r="B45" s="384" t="s">
        <v>226</v>
      </c>
      <c r="C45" s="384"/>
      <c r="D45" s="384"/>
      <c r="E45" s="390">
        <v>6</v>
      </c>
      <c r="F45" s="410" t="s">
        <v>50</v>
      </c>
      <c r="G45" s="598"/>
      <c r="H45" s="413">
        <f t="shared" si="0"/>
        <v>0</v>
      </c>
      <c r="I45" s="390"/>
      <c r="J45" s="413">
        <f t="shared" si="6"/>
        <v>0</v>
      </c>
      <c r="K45" s="413">
        <f t="shared" si="1"/>
        <v>0</v>
      </c>
      <c r="L45" s="385"/>
      <c r="W45" s="418"/>
    </row>
    <row r="46" spans="1:23" ht="24.6" customHeight="1">
      <c r="A46" s="410">
        <v>34</v>
      </c>
      <c r="B46" s="384" t="s">
        <v>227</v>
      </c>
      <c r="C46" s="433"/>
      <c r="D46" s="433"/>
      <c r="E46" s="390">
        <v>1</v>
      </c>
      <c r="F46" s="410" t="s">
        <v>50</v>
      </c>
      <c r="G46" s="598"/>
      <c r="H46" s="413">
        <f t="shared" si="0"/>
        <v>0</v>
      </c>
      <c r="I46" s="390"/>
      <c r="J46" s="413">
        <f t="shared" si="6"/>
        <v>0</v>
      </c>
      <c r="K46" s="413">
        <f t="shared" si="1"/>
        <v>0</v>
      </c>
      <c r="L46" s="385"/>
      <c r="W46" s="418"/>
    </row>
    <row r="47" spans="1:23" ht="24.6" customHeight="1">
      <c r="A47" s="410">
        <v>35</v>
      </c>
      <c r="B47" s="714" t="s">
        <v>53</v>
      </c>
      <c r="C47" s="714"/>
      <c r="D47" s="714"/>
      <c r="E47" s="390">
        <v>6</v>
      </c>
      <c r="F47" s="410" t="s">
        <v>50</v>
      </c>
      <c r="G47" s="598"/>
      <c r="H47" s="413">
        <f t="shared" si="0"/>
        <v>0</v>
      </c>
      <c r="I47" s="390"/>
      <c r="J47" s="413">
        <f t="shared" si="6"/>
        <v>0</v>
      </c>
      <c r="K47" s="413">
        <f t="shared" si="1"/>
        <v>0</v>
      </c>
      <c r="L47" s="385"/>
      <c r="W47" s="418"/>
    </row>
    <row r="48" spans="1:23" ht="24.6" customHeight="1">
      <c r="A48" s="410">
        <v>36</v>
      </c>
      <c r="B48" s="714" t="s">
        <v>59</v>
      </c>
      <c r="C48" s="714"/>
      <c r="D48" s="714"/>
      <c r="E48" s="390">
        <v>1</v>
      </c>
      <c r="F48" s="410" t="s">
        <v>50</v>
      </c>
      <c r="G48" s="598"/>
      <c r="H48" s="413">
        <f t="shared" si="0"/>
        <v>0</v>
      </c>
      <c r="I48" s="390"/>
      <c r="J48" s="413">
        <f t="shared" si="6"/>
        <v>0</v>
      </c>
      <c r="K48" s="413">
        <f t="shared" si="1"/>
        <v>0</v>
      </c>
      <c r="L48" s="385"/>
      <c r="W48" s="418"/>
    </row>
    <row r="49" spans="1:23" ht="24.6" customHeight="1">
      <c r="A49" s="433" t="s">
        <v>104</v>
      </c>
      <c r="B49" s="433"/>
      <c r="C49" s="433"/>
      <c r="D49" s="433"/>
      <c r="E49" s="433"/>
      <c r="F49" s="433"/>
      <c r="G49" s="433"/>
      <c r="H49" s="335"/>
      <c r="I49" s="335"/>
      <c r="J49" s="335"/>
      <c r="K49" s="413"/>
      <c r="L49" s="433"/>
      <c r="W49" s="418"/>
    </row>
    <row r="50" spans="1:23" s="382" customFormat="1" ht="24.6" customHeight="1">
      <c r="A50" s="410">
        <v>37</v>
      </c>
      <c r="B50" s="411" t="s">
        <v>218</v>
      </c>
      <c r="C50" s="411"/>
      <c r="D50" s="411"/>
      <c r="E50" s="412">
        <v>1</v>
      </c>
      <c r="F50" s="410" t="s">
        <v>52</v>
      </c>
      <c r="G50" s="598"/>
      <c r="H50" s="413">
        <f t="shared" si="0"/>
        <v>0</v>
      </c>
      <c r="I50" s="390"/>
      <c r="J50" s="413">
        <f t="shared" ref="J50:J52" si="7">SUM(I50)*$E50</f>
        <v>0</v>
      </c>
      <c r="K50" s="413">
        <f t="shared" si="1"/>
        <v>0</v>
      </c>
      <c r="L50" s="385"/>
      <c r="W50" s="418"/>
    </row>
    <row r="51" spans="1:23" ht="24.6" customHeight="1">
      <c r="A51" s="410">
        <v>38</v>
      </c>
      <c r="B51" s="411" t="s">
        <v>229</v>
      </c>
      <c r="C51" s="411"/>
      <c r="D51" s="411"/>
      <c r="E51" s="412">
        <v>1</v>
      </c>
      <c r="F51" s="410" t="s">
        <v>52</v>
      </c>
      <c r="G51" s="598"/>
      <c r="H51" s="413">
        <f t="shared" si="0"/>
        <v>0</v>
      </c>
      <c r="I51" s="390"/>
      <c r="J51" s="413">
        <f t="shared" si="7"/>
        <v>0</v>
      </c>
      <c r="K51" s="413">
        <f t="shared" si="1"/>
        <v>0</v>
      </c>
      <c r="L51" s="385"/>
      <c r="W51" s="418"/>
    </row>
    <row r="52" spans="1:23" ht="24.6" customHeight="1">
      <c r="A52" s="385">
        <v>39</v>
      </c>
      <c r="B52" s="384" t="s">
        <v>68</v>
      </c>
      <c r="C52" s="384"/>
      <c r="D52" s="384"/>
      <c r="E52" s="390">
        <v>1</v>
      </c>
      <c r="F52" s="410" t="s">
        <v>52</v>
      </c>
      <c r="G52" s="598"/>
      <c r="H52" s="413">
        <f t="shared" si="0"/>
        <v>0</v>
      </c>
      <c r="I52" s="390"/>
      <c r="J52" s="413">
        <f t="shared" si="7"/>
        <v>0</v>
      </c>
      <c r="K52" s="413">
        <f t="shared" si="1"/>
        <v>0</v>
      </c>
      <c r="L52" s="385"/>
      <c r="W52" s="418"/>
    </row>
    <row r="53" spans="1:23" ht="24.6" customHeight="1">
      <c r="A53" s="385"/>
      <c r="B53" s="718" t="s">
        <v>263</v>
      </c>
      <c r="C53" s="719"/>
      <c r="D53" s="720"/>
      <c r="E53" s="390"/>
      <c r="F53" s="410"/>
      <c r="G53" s="390"/>
      <c r="H53" s="413"/>
      <c r="I53" s="390"/>
      <c r="J53" s="413"/>
      <c r="K53" s="601">
        <f>ROUND(SUM(K10:K52),2)</f>
        <v>0</v>
      </c>
      <c r="L53" s="385"/>
      <c r="W53" s="418"/>
    </row>
    <row r="54" spans="1:23" ht="24.6" customHeight="1">
      <c r="A54" s="335">
        <v>2.2000000000000002</v>
      </c>
      <c r="B54" s="670" t="s">
        <v>194</v>
      </c>
      <c r="C54" s="670"/>
      <c r="D54" s="670"/>
      <c r="E54" s="433"/>
      <c r="F54" s="433"/>
      <c r="G54" s="390"/>
      <c r="H54" s="335"/>
      <c r="I54" s="335"/>
      <c r="J54" s="335"/>
      <c r="K54" s="602"/>
      <c r="L54" s="433"/>
      <c r="W54" s="418"/>
    </row>
    <row r="55" spans="1:23" ht="24.6" customHeight="1">
      <c r="A55" s="385">
        <v>1</v>
      </c>
      <c r="B55" s="713" t="s">
        <v>233</v>
      </c>
      <c r="C55" s="713"/>
      <c r="D55" s="713"/>
      <c r="E55" s="390">
        <v>3</v>
      </c>
      <c r="F55" s="385" t="s">
        <v>50</v>
      </c>
      <c r="G55" s="598"/>
      <c r="H55" s="413">
        <f t="shared" ref="H55:H67" si="8">ROUND(SUM(G55)*$E55,2)</f>
        <v>0</v>
      </c>
      <c r="I55" s="390"/>
      <c r="J55" s="390" t="s">
        <v>239</v>
      </c>
      <c r="K55" s="413">
        <f>H55</f>
        <v>0</v>
      </c>
      <c r="L55" s="385"/>
      <c r="W55" s="418"/>
    </row>
    <row r="56" spans="1:23" ht="24.6" customHeight="1">
      <c r="A56" s="385">
        <v>2</v>
      </c>
      <c r="B56" s="714" t="s">
        <v>275</v>
      </c>
      <c r="C56" s="714"/>
      <c r="D56" s="714"/>
      <c r="E56" s="390">
        <v>2</v>
      </c>
      <c r="F56" s="385" t="s">
        <v>50</v>
      </c>
      <c r="G56" s="598"/>
      <c r="H56" s="413">
        <f t="shared" si="8"/>
        <v>0</v>
      </c>
      <c r="I56" s="390"/>
      <c r="J56" s="390" t="s">
        <v>239</v>
      </c>
      <c r="K56" s="413">
        <f t="shared" ref="K56:K66" si="9">H56</f>
        <v>0</v>
      </c>
      <c r="L56" s="384"/>
      <c r="W56" s="418"/>
    </row>
    <row r="57" spans="1:23" ht="24.6" customHeight="1">
      <c r="A57" s="385">
        <v>3</v>
      </c>
      <c r="B57" s="391" t="s">
        <v>195</v>
      </c>
      <c r="C57" s="391"/>
      <c r="D57" s="391"/>
      <c r="E57" s="390">
        <v>1</v>
      </c>
      <c r="F57" s="385" t="s">
        <v>50</v>
      </c>
      <c r="G57" s="598"/>
      <c r="H57" s="413">
        <f t="shared" si="8"/>
        <v>0</v>
      </c>
      <c r="I57" s="390"/>
      <c r="J57" s="390" t="s">
        <v>239</v>
      </c>
      <c r="K57" s="413">
        <f t="shared" si="9"/>
        <v>0</v>
      </c>
      <c r="L57" s="385"/>
      <c r="W57" s="418"/>
    </row>
    <row r="58" spans="1:23" ht="24.6" customHeight="1">
      <c r="A58" s="385">
        <v>4</v>
      </c>
      <c r="B58" s="384" t="s">
        <v>278</v>
      </c>
      <c r="C58" s="384"/>
      <c r="D58" s="384"/>
      <c r="E58" s="390">
        <v>1</v>
      </c>
      <c r="F58" s="385" t="s">
        <v>50</v>
      </c>
      <c r="G58" s="598"/>
      <c r="H58" s="413">
        <f t="shared" si="8"/>
        <v>0</v>
      </c>
      <c r="I58" s="390"/>
      <c r="J58" s="390" t="s">
        <v>239</v>
      </c>
      <c r="K58" s="413">
        <f t="shared" si="9"/>
        <v>0</v>
      </c>
      <c r="L58" s="385"/>
      <c r="W58" s="418"/>
    </row>
    <row r="59" spans="1:23" ht="24.75" customHeight="1">
      <c r="A59" s="385">
        <v>5</v>
      </c>
      <c r="B59" s="714" t="s">
        <v>285</v>
      </c>
      <c r="C59" s="714"/>
      <c r="D59" s="714"/>
      <c r="E59" s="390">
        <v>1</v>
      </c>
      <c r="F59" s="385" t="s">
        <v>50</v>
      </c>
      <c r="G59" s="598"/>
      <c r="H59" s="413">
        <f t="shared" si="8"/>
        <v>0</v>
      </c>
      <c r="I59" s="390"/>
      <c r="J59" s="390" t="s">
        <v>239</v>
      </c>
      <c r="K59" s="413">
        <f t="shared" si="9"/>
        <v>0</v>
      </c>
      <c r="L59" s="385"/>
      <c r="W59" s="418"/>
    </row>
    <row r="60" spans="1:23" s="107" customFormat="1" ht="21" customHeight="1">
      <c r="A60" s="385">
        <v>6</v>
      </c>
      <c r="B60" s="391" t="s">
        <v>114</v>
      </c>
      <c r="C60" s="391"/>
      <c r="D60" s="391"/>
      <c r="E60" s="390">
        <v>1</v>
      </c>
      <c r="F60" s="385" t="s">
        <v>50</v>
      </c>
      <c r="G60" s="598"/>
      <c r="H60" s="413">
        <f t="shared" si="8"/>
        <v>0</v>
      </c>
      <c r="I60" s="390"/>
      <c r="J60" s="390" t="s">
        <v>239</v>
      </c>
      <c r="K60" s="413">
        <f t="shared" si="9"/>
        <v>0</v>
      </c>
      <c r="L60" s="385"/>
      <c r="M60" s="559"/>
      <c r="N60" s="476"/>
      <c r="O60" s="559"/>
      <c r="P60" s="476"/>
      <c r="S60" s="476"/>
      <c r="W60" s="418"/>
    </row>
    <row r="61" spans="1:23" s="107" customFormat="1" ht="21" customHeight="1">
      <c r="A61" s="385">
        <v>7</v>
      </c>
      <c r="B61" s="362" t="s">
        <v>115</v>
      </c>
      <c r="C61" s="391"/>
      <c r="D61" s="391"/>
      <c r="E61" s="390">
        <v>3</v>
      </c>
      <c r="F61" s="385" t="s">
        <v>50</v>
      </c>
      <c r="G61" s="598"/>
      <c r="H61" s="413">
        <f t="shared" si="8"/>
        <v>0</v>
      </c>
      <c r="I61" s="390"/>
      <c r="J61" s="390" t="s">
        <v>239</v>
      </c>
      <c r="K61" s="413">
        <f t="shared" si="9"/>
        <v>0</v>
      </c>
      <c r="L61" s="385"/>
      <c r="N61" s="476"/>
      <c r="P61" s="476"/>
      <c r="S61" s="476"/>
      <c r="W61" s="418"/>
    </row>
    <row r="62" spans="1:23" s="107" customFormat="1" ht="21" customHeight="1">
      <c r="A62" s="385">
        <v>8</v>
      </c>
      <c r="B62" s="362" t="s">
        <v>120</v>
      </c>
      <c r="C62" s="391"/>
      <c r="D62" s="391"/>
      <c r="E62" s="390">
        <v>3</v>
      </c>
      <c r="F62" s="385" t="s">
        <v>116</v>
      </c>
      <c r="G62" s="598"/>
      <c r="H62" s="413">
        <f t="shared" si="8"/>
        <v>0</v>
      </c>
      <c r="I62" s="390"/>
      <c r="J62" s="390" t="s">
        <v>239</v>
      </c>
      <c r="K62" s="413">
        <f t="shared" si="9"/>
        <v>0</v>
      </c>
      <c r="L62" s="385"/>
      <c r="P62" s="476"/>
      <c r="W62" s="418"/>
    </row>
    <row r="63" spans="1:23" s="107" customFormat="1" ht="21" customHeight="1">
      <c r="A63" s="385">
        <v>9</v>
      </c>
      <c r="B63" s="676" t="s">
        <v>261</v>
      </c>
      <c r="C63" s="677"/>
      <c r="D63" s="678"/>
      <c r="E63" s="390">
        <v>1</v>
      </c>
      <c r="F63" s="385" t="s">
        <v>116</v>
      </c>
      <c r="G63" s="598"/>
      <c r="H63" s="413">
        <f t="shared" si="8"/>
        <v>0</v>
      </c>
      <c r="I63" s="390"/>
      <c r="J63" s="390" t="s">
        <v>239</v>
      </c>
      <c r="K63" s="413">
        <f t="shared" si="9"/>
        <v>0</v>
      </c>
      <c r="L63" s="385"/>
      <c r="N63" s="476"/>
      <c r="P63" s="476"/>
      <c r="W63" s="418"/>
    </row>
    <row r="64" spans="1:23" s="107" customFormat="1" ht="21" customHeight="1">
      <c r="A64" s="385">
        <v>10</v>
      </c>
      <c r="B64" s="669" t="s">
        <v>276</v>
      </c>
      <c r="C64" s="669"/>
      <c r="D64" s="669"/>
      <c r="E64" s="390">
        <v>1</v>
      </c>
      <c r="F64" s="385" t="s">
        <v>116</v>
      </c>
      <c r="G64" s="598"/>
      <c r="H64" s="413">
        <f t="shared" si="8"/>
        <v>0</v>
      </c>
      <c r="I64" s="390"/>
      <c r="J64" s="390" t="s">
        <v>239</v>
      </c>
      <c r="K64" s="413">
        <f t="shared" si="9"/>
        <v>0</v>
      </c>
      <c r="L64" s="385"/>
      <c r="N64" s="476"/>
      <c r="P64" s="476"/>
      <c r="W64" s="418"/>
    </row>
    <row r="65" spans="1:23" s="107" customFormat="1" ht="21" customHeight="1">
      <c r="A65" s="385">
        <v>11</v>
      </c>
      <c r="B65" s="512" t="s">
        <v>257</v>
      </c>
      <c r="C65" s="391"/>
      <c r="D65" s="391"/>
      <c r="E65" s="390">
        <v>1</v>
      </c>
      <c r="F65" s="385" t="s">
        <v>116</v>
      </c>
      <c r="G65" s="598"/>
      <c r="H65" s="413">
        <f t="shared" si="8"/>
        <v>0</v>
      </c>
      <c r="I65" s="390"/>
      <c r="J65" s="390" t="s">
        <v>239</v>
      </c>
      <c r="K65" s="413">
        <f t="shared" si="9"/>
        <v>0</v>
      </c>
      <c r="L65" s="385"/>
      <c r="N65" s="476"/>
      <c r="P65" s="476"/>
      <c r="W65" s="418"/>
    </row>
    <row r="66" spans="1:23" s="107" customFormat="1" ht="21" customHeight="1">
      <c r="A66" s="385">
        <v>12</v>
      </c>
      <c r="B66" s="512" t="s">
        <v>258</v>
      </c>
      <c r="C66" s="391"/>
      <c r="D66" s="391"/>
      <c r="E66" s="390">
        <v>2</v>
      </c>
      <c r="F66" s="385" t="s">
        <v>116</v>
      </c>
      <c r="G66" s="598"/>
      <c r="H66" s="413">
        <f t="shared" si="8"/>
        <v>0</v>
      </c>
      <c r="I66" s="390"/>
      <c r="J66" s="390" t="s">
        <v>239</v>
      </c>
      <c r="K66" s="413">
        <f t="shared" si="9"/>
        <v>0</v>
      </c>
      <c r="L66" s="385"/>
      <c r="N66" s="476"/>
      <c r="P66" s="476"/>
      <c r="W66" s="418"/>
    </row>
    <row r="67" spans="1:23" s="107" customFormat="1" ht="21" customHeight="1">
      <c r="A67" s="385">
        <v>13</v>
      </c>
      <c r="B67" s="512" t="s">
        <v>256</v>
      </c>
      <c r="C67" s="391"/>
      <c r="D67" s="391"/>
      <c r="E67" s="390">
        <v>1</v>
      </c>
      <c r="F67" s="385" t="s">
        <v>116</v>
      </c>
      <c r="G67" s="598"/>
      <c r="H67" s="413">
        <f t="shared" si="8"/>
        <v>0</v>
      </c>
      <c r="I67" s="390"/>
      <c r="J67" s="390" t="s">
        <v>239</v>
      </c>
      <c r="K67" s="413">
        <f>H67</f>
        <v>0</v>
      </c>
      <c r="L67" s="385"/>
      <c r="N67" s="476"/>
      <c r="P67" s="476"/>
      <c r="W67" s="418"/>
    </row>
    <row r="68" spans="1:23" ht="24.6" customHeight="1">
      <c r="A68" s="385"/>
      <c r="B68" s="718" t="s">
        <v>263</v>
      </c>
      <c r="C68" s="719"/>
      <c r="D68" s="720"/>
      <c r="E68" s="390"/>
      <c r="F68" s="385"/>
      <c r="G68" s="390"/>
      <c r="H68" s="413"/>
      <c r="I68" s="390"/>
      <c r="J68" s="413"/>
      <c r="K68" s="601">
        <f>ROUND(SUM(K55:K67),2)</f>
        <v>0</v>
      </c>
      <c r="L68" s="385"/>
    </row>
    <row r="69" spans="1:23" ht="27" customHeight="1">
      <c r="A69" s="599"/>
      <c r="B69" s="715" t="s">
        <v>14</v>
      </c>
      <c r="C69" s="716"/>
      <c r="D69" s="717"/>
      <c r="E69" s="600"/>
      <c r="F69" s="599"/>
      <c r="G69" s="557"/>
      <c r="H69" s="601"/>
      <c r="I69" s="601"/>
      <c r="J69" s="601"/>
      <c r="K69" s="601">
        <f>ROUND(SUM(K53,K68),2)</f>
        <v>0</v>
      </c>
      <c r="L69" s="424"/>
    </row>
    <row r="70" spans="1:23">
      <c r="K70" s="399"/>
    </row>
    <row r="71" spans="1:23">
      <c r="A71" s="650"/>
      <c r="B71" s="650"/>
      <c r="C71" s="650"/>
      <c r="D71" s="650"/>
      <c r="E71" s="650"/>
      <c r="F71" s="650"/>
      <c r="G71" s="650"/>
      <c r="H71" s="650"/>
      <c r="I71" s="650"/>
      <c r="J71" s="650"/>
      <c r="K71" s="650"/>
      <c r="L71" s="650"/>
    </row>
    <row r="72" spans="1:23" ht="17.25" customHeight="1">
      <c r="A72" s="650"/>
      <c r="B72" s="650"/>
      <c r="C72" s="650"/>
      <c r="D72" s="650"/>
      <c r="E72" s="650"/>
      <c r="F72" s="650"/>
      <c r="G72" s="650"/>
      <c r="H72" s="650"/>
      <c r="I72" s="650"/>
      <c r="J72" s="650"/>
      <c r="K72" s="650"/>
      <c r="L72" s="650"/>
    </row>
    <row r="73" spans="1:23" ht="17.25" customHeight="1">
      <c r="A73" s="650"/>
      <c r="B73" s="650"/>
      <c r="C73" s="650"/>
      <c r="D73" s="650"/>
      <c r="E73" s="650"/>
      <c r="F73" s="650"/>
      <c r="G73" s="650"/>
      <c r="H73" s="650"/>
      <c r="I73" s="650"/>
      <c r="J73" s="650"/>
      <c r="K73" s="650"/>
      <c r="L73" s="650"/>
    </row>
    <row r="74" spans="1:23" ht="17.25" customHeight="1">
      <c r="A74" s="708"/>
      <c r="B74" s="708"/>
      <c r="C74" s="708"/>
      <c r="D74" s="708"/>
      <c r="E74" s="708"/>
      <c r="F74" s="708"/>
      <c r="G74" s="708"/>
      <c r="H74" s="708"/>
      <c r="I74" s="708"/>
      <c r="J74" s="708"/>
      <c r="K74" s="708"/>
      <c r="L74" s="708"/>
    </row>
    <row r="75" spans="1:23">
      <c r="A75" s="708"/>
      <c r="B75" s="708"/>
      <c r="C75" s="708"/>
      <c r="D75" s="708"/>
      <c r="E75" s="708"/>
      <c r="F75" s="708"/>
      <c r="G75" s="708"/>
      <c r="H75" s="708"/>
      <c r="I75" s="708"/>
      <c r="J75" s="708"/>
      <c r="K75" s="708"/>
      <c r="L75" s="708"/>
    </row>
    <row r="76" spans="1:23">
      <c r="A76" s="708"/>
      <c r="B76" s="708"/>
      <c r="C76" s="708"/>
      <c r="D76" s="708"/>
      <c r="E76" s="708"/>
      <c r="F76" s="708"/>
      <c r="G76" s="708"/>
      <c r="H76" s="708"/>
      <c r="I76" s="708"/>
      <c r="J76" s="708"/>
      <c r="K76" s="708"/>
      <c r="L76" s="708"/>
    </row>
    <row r="78" spans="1:23">
      <c r="D78" s="447"/>
    </row>
    <row r="79" spans="1:23">
      <c r="E79" s="382"/>
    </row>
    <row r="80" spans="1:23">
      <c r="D80" s="448"/>
    </row>
    <row r="81" spans="4:4">
      <c r="D81" s="448"/>
    </row>
    <row r="82" spans="4:4">
      <c r="D82" s="447"/>
    </row>
    <row r="83" spans="4:4">
      <c r="D83" s="447"/>
    </row>
  </sheetData>
  <mergeCells count="38">
    <mergeCell ref="B53:D53"/>
    <mergeCell ref="B47:D47"/>
    <mergeCell ref="B48:D48"/>
    <mergeCell ref="B17:D17"/>
    <mergeCell ref="B39:D39"/>
    <mergeCell ref="B18:D18"/>
    <mergeCell ref="A76:L76"/>
    <mergeCell ref="B30:D30"/>
    <mergeCell ref="A3:C3"/>
    <mergeCell ref="A4:C4"/>
    <mergeCell ref="D4:G4"/>
    <mergeCell ref="L5:L6"/>
    <mergeCell ref="I5:J5"/>
    <mergeCell ref="K5:K6"/>
    <mergeCell ref="A5:A6"/>
    <mergeCell ref="B5:D6"/>
    <mergeCell ref="E5:E6"/>
    <mergeCell ref="F5:F6"/>
    <mergeCell ref="G5:H5"/>
    <mergeCell ref="B54:D54"/>
    <mergeCell ref="B59:D59"/>
    <mergeCell ref="B63:D63"/>
    <mergeCell ref="A1:L1"/>
    <mergeCell ref="A75:L75"/>
    <mergeCell ref="D2:L2"/>
    <mergeCell ref="A9:L9"/>
    <mergeCell ref="A71:L71"/>
    <mergeCell ref="A72:L72"/>
    <mergeCell ref="A73:L73"/>
    <mergeCell ref="A74:L74"/>
    <mergeCell ref="B55:D55"/>
    <mergeCell ref="B56:D56"/>
    <mergeCell ref="B69:D69"/>
    <mergeCell ref="B68:D68"/>
    <mergeCell ref="B64:D64"/>
    <mergeCell ref="B7:D7"/>
    <mergeCell ref="B8:D8"/>
    <mergeCell ref="B40:D4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>&amp;R&amp;"TH SarabunIT๙,Regular"&amp;16ปร4(ข) หน้า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Q64"/>
  <sheetViews>
    <sheetView topLeftCell="A34" zoomScale="70" zoomScaleNormal="70" workbookViewId="0">
      <selection activeCell="B21" sqref="B21:D21"/>
    </sheetView>
  </sheetViews>
  <sheetFormatPr defaultColWidth="9.140625" defaultRowHeight="19.5"/>
  <cols>
    <col min="1" max="1" width="7.85546875" style="383" customWidth="1"/>
    <col min="2" max="2" width="9.140625" style="383" customWidth="1"/>
    <col min="3" max="3" width="9.7109375" style="383" customWidth="1"/>
    <col min="4" max="4" width="53" style="383" customWidth="1"/>
    <col min="5" max="5" width="11.7109375" style="383" bestFit="1" customWidth="1"/>
    <col min="6" max="6" width="9.7109375" style="383" customWidth="1"/>
    <col min="7" max="7" width="19.85546875" style="383" customWidth="1"/>
    <col min="8" max="9" width="17.5703125" style="383" customWidth="1"/>
    <col min="10" max="10" width="16.28515625" style="383" customWidth="1"/>
    <col min="11" max="16" width="19.28515625" style="383" customWidth="1"/>
    <col min="17" max="17" width="11.28515625" style="383" customWidth="1"/>
    <col min="18" max="18" width="9.140625" style="383" customWidth="1"/>
    <col min="19" max="16384" width="9.140625" style="383"/>
  </cols>
  <sheetData>
    <row r="1" spans="1:17" ht="22.5" customHeight="1">
      <c r="A1" s="679" t="s">
        <v>23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</row>
    <row r="2" spans="1:17" s="382" customFormat="1" ht="22.5" customHeight="1">
      <c r="A2" s="569" t="s">
        <v>33</v>
      </c>
      <c r="B2" s="569"/>
      <c r="C2" s="570"/>
      <c r="D2" s="570" t="s">
        <v>287</v>
      </c>
      <c r="E2" s="552"/>
      <c r="F2" s="571"/>
      <c r="G2" s="553"/>
      <c r="H2" s="572"/>
      <c r="I2" s="570"/>
      <c r="J2" s="570"/>
      <c r="K2" s="570"/>
      <c r="L2" s="570"/>
    </row>
    <row r="3" spans="1:17" s="382" customFormat="1" ht="22.5" customHeight="1">
      <c r="A3" s="721" t="s">
        <v>0</v>
      </c>
      <c r="B3" s="721"/>
      <c r="C3" s="721"/>
      <c r="D3" s="571" t="s">
        <v>48</v>
      </c>
      <c r="E3" s="571"/>
      <c r="F3" s="571"/>
      <c r="G3" s="571"/>
      <c r="H3" s="571"/>
      <c r="I3" s="569"/>
      <c r="J3" s="571"/>
      <c r="K3" s="571"/>
      <c r="L3" s="571"/>
    </row>
    <row r="4" spans="1:17" s="382" customFormat="1" ht="22.5" customHeight="1">
      <c r="A4" s="721" t="s">
        <v>7</v>
      </c>
      <c r="B4" s="721"/>
      <c r="C4" s="721"/>
      <c r="D4" s="733"/>
      <c r="E4" s="733"/>
      <c r="F4" s="733"/>
      <c r="G4" s="733"/>
      <c r="H4" s="530"/>
      <c r="I4" s="530"/>
      <c r="J4" s="573"/>
      <c r="K4" s="573"/>
      <c r="L4" s="573"/>
    </row>
    <row r="5" spans="1:17" ht="22.5" customHeight="1">
      <c r="A5" s="722" t="s">
        <v>3</v>
      </c>
      <c r="B5" s="722" t="s">
        <v>4</v>
      </c>
      <c r="C5" s="722"/>
      <c r="D5" s="722"/>
      <c r="E5" s="725" t="s">
        <v>11</v>
      </c>
      <c r="F5" s="722" t="s">
        <v>13</v>
      </c>
      <c r="G5" s="723" t="s">
        <v>18</v>
      </c>
      <c r="H5" s="723"/>
      <c r="I5" s="723" t="s">
        <v>15</v>
      </c>
      <c r="J5" s="723"/>
      <c r="K5" s="724" t="s">
        <v>17</v>
      </c>
      <c r="L5" s="722" t="s">
        <v>5</v>
      </c>
    </row>
    <row r="6" spans="1:17" ht="21" customHeight="1">
      <c r="A6" s="722"/>
      <c r="B6" s="722"/>
      <c r="C6" s="722"/>
      <c r="D6" s="722"/>
      <c r="E6" s="725"/>
      <c r="F6" s="722"/>
      <c r="G6" s="326" t="s">
        <v>24</v>
      </c>
      <c r="H6" s="326" t="s">
        <v>16</v>
      </c>
      <c r="I6" s="326" t="s">
        <v>24</v>
      </c>
      <c r="J6" s="326" t="s">
        <v>16</v>
      </c>
      <c r="K6" s="724"/>
      <c r="L6" s="722"/>
    </row>
    <row r="7" spans="1:17" ht="19.5" customHeight="1">
      <c r="A7" s="335"/>
      <c r="B7" s="670" t="s">
        <v>191</v>
      </c>
      <c r="C7" s="670"/>
      <c r="D7" s="670"/>
      <c r="E7" s="393"/>
      <c r="F7" s="335"/>
      <c r="G7" s="326"/>
      <c r="H7" s="326"/>
      <c r="I7" s="326"/>
      <c r="J7" s="326"/>
      <c r="K7" s="392"/>
      <c r="L7" s="335"/>
    </row>
    <row r="8" spans="1:17" ht="19.5" customHeight="1">
      <c r="A8" s="574">
        <v>1</v>
      </c>
      <c r="B8" s="670" t="s">
        <v>234</v>
      </c>
      <c r="C8" s="670" t="s">
        <v>93</v>
      </c>
      <c r="D8" s="670" t="s">
        <v>93</v>
      </c>
      <c r="E8" s="390"/>
      <c r="F8" s="385"/>
      <c r="G8" s="397"/>
      <c r="H8" s="398"/>
      <c r="I8" s="397"/>
      <c r="J8" s="398"/>
      <c r="K8" s="575"/>
      <c r="L8" s="385"/>
    </row>
    <row r="9" spans="1:17" ht="19.5" customHeight="1">
      <c r="A9" s="335">
        <v>1.1000000000000001</v>
      </c>
      <c r="B9" s="710" t="s">
        <v>55</v>
      </c>
      <c r="C9" s="711"/>
      <c r="D9" s="712"/>
      <c r="E9" s="397">
        <v>1</v>
      </c>
      <c r="F9" s="564" t="s">
        <v>49</v>
      </c>
      <c r="G9" s="397"/>
      <c r="H9" s="398"/>
      <c r="I9" s="397"/>
      <c r="J9" s="398"/>
      <c r="K9" s="566"/>
      <c r="L9" s="577"/>
      <c r="P9" s="399"/>
      <c r="Q9" s="568"/>
    </row>
    <row r="10" spans="1:17" ht="19.5" customHeight="1">
      <c r="A10" s="385"/>
      <c r="B10" s="726" t="s">
        <v>262</v>
      </c>
      <c r="C10" s="727"/>
      <c r="D10" s="728"/>
      <c r="E10" s="397"/>
      <c r="F10" s="564"/>
      <c r="G10" s="397"/>
      <c r="H10" s="398"/>
      <c r="I10" s="397"/>
      <c r="J10" s="398"/>
      <c r="K10" s="566"/>
      <c r="L10" s="385"/>
      <c r="Q10" s="568"/>
    </row>
    <row r="11" spans="1:17" ht="19.5" customHeight="1">
      <c r="A11" s="385"/>
      <c r="B11" s="726" t="s">
        <v>236</v>
      </c>
      <c r="C11" s="727"/>
      <c r="D11" s="728"/>
      <c r="E11" s="397"/>
      <c r="F11" s="564"/>
      <c r="G11" s="397"/>
      <c r="H11" s="398"/>
      <c r="I11" s="397"/>
      <c r="J11" s="398"/>
      <c r="K11" s="566"/>
      <c r="L11" s="385"/>
      <c r="Q11" s="568"/>
    </row>
    <row r="12" spans="1:17" ht="19.5" customHeight="1">
      <c r="A12" s="385"/>
      <c r="B12" s="726" t="s">
        <v>155</v>
      </c>
      <c r="C12" s="727"/>
      <c r="D12" s="728"/>
      <c r="E12" s="397"/>
      <c r="F12" s="564"/>
      <c r="G12" s="397"/>
      <c r="H12" s="398"/>
      <c r="I12" s="397"/>
      <c r="J12" s="398"/>
      <c r="K12" s="566"/>
      <c r="L12" s="385"/>
      <c r="Q12" s="568"/>
    </row>
    <row r="13" spans="1:17" ht="19.5" customHeight="1">
      <c r="A13" s="385"/>
      <c r="B13" s="726" t="s">
        <v>178</v>
      </c>
      <c r="C13" s="727"/>
      <c r="D13" s="728"/>
      <c r="E13" s="397"/>
      <c r="F13" s="564"/>
      <c r="G13" s="397"/>
      <c r="H13" s="398"/>
      <c r="I13" s="397"/>
      <c r="J13" s="398"/>
      <c r="K13" s="566"/>
      <c r="L13" s="385"/>
      <c r="Q13" s="568"/>
    </row>
    <row r="14" spans="1:17" ht="19.5" customHeight="1">
      <c r="A14" s="335">
        <v>1.2</v>
      </c>
      <c r="B14" s="710" t="s">
        <v>202</v>
      </c>
      <c r="C14" s="711"/>
      <c r="D14" s="712"/>
      <c r="E14" s="397">
        <v>1</v>
      </c>
      <c r="F14" s="564" t="s">
        <v>49</v>
      </c>
      <c r="G14" s="397"/>
      <c r="H14" s="398"/>
      <c r="I14" s="397"/>
      <c r="J14" s="398"/>
      <c r="K14" s="566"/>
      <c r="L14" s="385"/>
      <c r="Q14" s="568"/>
    </row>
    <row r="15" spans="1:17" ht="19.5" customHeight="1">
      <c r="A15" s="385"/>
      <c r="B15" s="726" t="s">
        <v>203</v>
      </c>
      <c r="C15" s="727"/>
      <c r="D15" s="728"/>
      <c r="E15" s="397"/>
      <c r="F15" s="564"/>
      <c r="G15" s="397"/>
      <c r="H15" s="398"/>
      <c r="I15" s="397"/>
      <c r="J15" s="398"/>
      <c r="K15" s="566"/>
      <c r="L15" s="385"/>
      <c r="Q15" s="568"/>
    </row>
    <row r="16" spans="1:17" ht="19.5" customHeight="1">
      <c r="A16" s="335">
        <v>1.3</v>
      </c>
      <c r="B16" s="670" t="s">
        <v>103</v>
      </c>
      <c r="C16" s="670"/>
      <c r="D16" s="670"/>
      <c r="E16" s="397">
        <v>1</v>
      </c>
      <c r="F16" s="564" t="s">
        <v>49</v>
      </c>
      <c r="G16" s="397"/>
      <c r="H16" s="398"/>
      <c r="I16" s="397"/>
      <c r="J16" s="398"/>
      <c r="K16" s="566"/>
      <c r="L16" s="385"/>
      <c r="Q16" s="568"/>
    </row>
    <row r="17" spans="1:17" ht="19.5" customHeight="1">
      <c r="A17" s="335">
        <v>1.4</v>
      </c>
      <c r="B17" s="710" t="s">
        <v>199</v>
      </c>
      <c r="C17" s="711"/>
      <c r="D17" s="712"/>
      <c r="E17" s="397">
        <v>1</v>
      </c>
      <c r="F17" s="564" t="s">
        <v>49</v>
      </c>
      <c r="G17" s="397"/>
      <c r="H17" s="562"/>
      <c r="I17" s="563"/>
      <c r="J17" s="562"/>
      <c r="K17" s="566"/>
      <c r="L17" s="578"/>
      <c r="P17" s="579"/>
      <c r="Q17" s="568"/>
    </row>
    <row r="18" spans="1:17" s="576" customFormat="1" ht="19.5" customHeight="1">
      <c r="A18" s="580">
        <v>1.5</v>
      </c>
      <c r="B18" s="729" t="s">
        <v>279</v>
      </c>
      <c r="C18" s="730"/>
      <c r="D18" s="731"/>
      <c r="E18" s="401">
        <v>1</v>
      </c>
      <c r="F18" s="581" t="s">
        <v>49</v>
      </c>
      <c r="G18" s="397"/>
      <c r="H18" s="398"/>
      <c r="I18" s="397"/>
      <c r="J18" s="398"/>
      <c r="K18" s="566"/>
      <c r="L18" s="582"/>
      <c r="M18" s="567"/>
      <c r="P18" s="579"/>
      <c r="Q18" s="568"/>
    </row>
    <row r="19" spans="1:17" s="576" customFormat="1" ht="19.5" customHeight="1">
      <c r="A19" s="580"/>
      <c r="B19" s="583"/>
      <c r="C19" s="584"/>
      <c r="D19" s="585" t="s">
        <v>263</v>
      </c>
      <c r="E19" s="401"/>
      <c r="F19" s="581"/>
      <c r="G19" s="397"/>
      <c r="H19" s="398"/>
      <c r="I19" s="397"/>
      <c r="J19" s="398"/>
      <c r="K19" s="555"/>
      <c r="L19" s="385"/>
      <c r="M19" s="567"/>
      <c r="Q19" s="568"/>
    </row>
    <row r="20" spans="1:17" ht="19.5" customHeight="1">
      <c r="A20" s="385">
        <v>2</v>
      </c>
      <c r="B20" s="710" t="s">
        <v>77</v>
      </c>
      <c r="C20" s="711"/>
      <c r="D20" s="712"/>
      <c r="E20" s="397"/>
      <c r="F20" s="564"/>
      <c r="G20" s="397"/>
      <c r="H20" s="398"/>
      <c r="I20" s="397"/>
      <c r="J20" s="398"/>
      <c r="K20" s="586"/>
      <c r="L20" s="385"/>
      <c r="M20" s="587"/>
      <c r="Q20" s="568"/>
    </row>
    <row r="21" spans="1:17" ht="19.5" customHeight="1">
      <c r="A21" s="588">
        <v>2.1</v>
      </c>
      <c r="B21" s="670" t="s">
        <v>55</v>
      </c>
      <c r="C21" s="670" t="s">
        <v>55</v>
      </c>
      <c r="D21" s="670" t="s">
        <v>55</v>
      </c>
      <c r="E21" s="397">
        <v>1</v>
      </c>
      <c r="F21" s="564" t="s">
        <v>49</v>
      </c>
      <c r="G21" s="397"/>
      <c r="H21" s="398"/>
      <c r="I21" s="397"/>
      <c r="J21" s="398"/>
      <c r="K21" s="566"/>
      <c r="L21" s="335"/>
      <c r="Q21" s="568"/>
    </row>
    <row r="22" spans="1:17" ht="19.5" customHeight="1">
      <c r="A22" s="589"/>
      <c r="B22" s="726" t="s">
        <v>264</v>
      </c>
      <c r="C22" s="727"/>
      <c r="D22" s="728"/>
      <c r="E22" s="397"/>
      <c r="F22" s="564"/>
      <c r="G22" s="397"/>
      <c r="H22" s="398"/>
      <c r="I22" s="397"/>
      <c r="J22" s="398"/>
      <c r="K22" s="566"/>
      <c r="L22" s="385"/>
      <c r="Q22" s="568"/>
    </row>
    <row r="23" spans="1:17" ht="19.5" customHeight="1">
      <c r="A23" s="589"/>
      <c r="B23" s="726" t="s">
        <v>160</v>
      </c>
      <c r="C23" s="727"/>
      <c r="D23" s="728"/>
      <c r="E23" s="397"/>
      <c r="F23" s="564"/>
      <c r="G23" s="397"/>
      <c r="H23" s="398"/>
      <c r="I23" s="397"/>
      <c r="J23" s="398"/>
      <c r="K23" s="566"/>
      <c r="L23" s="385"/>
      <c r="Q23" s="568"/>
    </row>
    <row r="24" spans="1:17" ht="19.5" customHeight="1">
      <c r="A24" s="589"/>
      <c r="B24" s="726" t="s">
        <v>161</v>
      </c>
      <c r="C24" s="727"/>
      <c r="D24" s="728"/>
      <c r="E24" s="397"/>
      <c r="F24" s="564"/>
      <c r="G24" s="397"/>
      <c r="H24" s="398"/>
      <c r="I24" s="397"/>
      <c r="J24" s="398"/>
      <c r="K24" s="566"/>
      <c r="L24" s="385"/>
      <c r="Q24" s="568"/>
    </row>
    <row r="25" spans="1:17" ht="19.5" customHeight="1">
      <c r="A25" s="589"/>
      <c r="B25" s="726" t="s">
        <v>162</v>
      </c>
      <c r="C25" s="727"/>
      <c r="D25" s="728"/>
      <c r="E25" s="397"/>
      <c r="F25" s="564"/>
      <c r="G25" s="397"/>
      <c r="H25" s="398"/>
      <c r="I25" s="397"/>
      <c r="J25" s="398"/>
      <c r="K25" s="566"/>
      <c r="L25" s="385"/>
      <c r="Q25" s="568"/>
    </row>
    <row r="26" spans="1:17" ht="19.5" customHeight="1">
      <c r="A26" s="588">
        <v>2.2000000000000002</v>
      </c>
      <c r="B26" s="670" t="s">
        <v>200</v>
      </c>
      <c r="C26" s="670" t="s">
        <v>97</v>
      </c>
      <c r="D26" s="670" t="s">
        <v>97</v>
      </c>
      <c r="E26" s="397">
        <v>1</v>
      </c>
      <c r="F26" s="564" t="s">
        <v>49</v>
      </c>
      <c r="G26" s="397"/>
      <c r="H26" s="398"/>
      <c r="I26" s="397"/>
      <c r="J26" s="398"/>
      <c r="K26" s="566"/>
      <c r="L26" s="335"/>
      <c r="Q26" s="568"/>
    </row>
    <row r="27" spans="1:17" ht="19.5" customHeight="1">
      <c r="A27" s="589"/>
      <c r="B27" s="726" t="s">
        <v>179</v>
      </c>
      <c r="C27" s="727"/>
      <c r="D27" s="728"/>
      <c r="E27" s="397"/>
      <c r="F27" s="564"/>
      <c r="G27" s="397"/>
      <c r="H27" s="398"/>
      <c r="I27" s="397"/>
      <c r="J27" s="398"/>
      <c r="K27" s="566"/>
      <c r="L27" s="385"/>
      <c r="Q27" s="568"/>
    </row>
    <row r="28" spans="1:17" ht="19.5" customHeight="1">
      <c r="A28" s="589"/>
      <c r="B28" s="726" t="s">
        <v>163</v>
      </c>
      <c r="C28" s="727"/>
      <c r="D28" s="728"/>
      <c r="E28" s="397"/>
      <c r="F28" s="564"/>
      <c r="G28" s="397"/>
      <c r="H28" s="398"/>
      <c r="I28" s="397"/>
      <c r="J28" s="398"/>
      <c r="K28" s="566"/>
      <c r="L28" s="385"/>
      <c r="Q28" s="568"/>
    </row>
    <row r="29" spans="1:17" ht="19.5" customHeight="1">
      <c r="A29" s="335">
        <v>2.2999999999999998</v>
      </c>
      <c r="B29" s="670" t="s">
        <v>95</v>
      </c>
      <c r="C29" s="670" t="s">
        <v>95</v>
      </c>
      <c r="D29" s="670" t="s">
        <v>95</v>
      </c>
      <c r="E29" s="397">
        <v>1</v>
      </c>
      <c r="F29" s="564" t="s">
        <v>49</v>
      </c>
      <c r="G29" s="397"/>
      <c r="H29" s="398"/>
      <c r="I29" s="397"/>
      <c r="J29" s="398"/>
      <c r="K29" s="566"/>
      <c r="L29" s="385"/>
      <c r="Q29" s="568"/>
    </row>
    <row r="30" spans="1:17" ht="19.5" customHeight="1">
      <c r="A30" s="335">
        <v>2.4</v>
      </c>
      <c r="B30" s="670" t="s">
        <v>280</v>
      </c>
      <c r="C30" s="670" t="s">
        <v>96</v>
      </c>
      <c r="D30" s="670" t="s">
        <v>96</v>
      </c>
      <c r="E30" s="397">
        <v>1</v>
      </c>
      <c r="F30" s="564" t="s">
        <v>49</v>
      </c>
      <c r="G30" s="397"/>
      <c r="H30" s="398"/>
      <c r="I30" s="397"/>
      <c r="J30" s="398"/>
      <c r="K30" s="566"/>
      <c r="L30" s="402"/>
      <c r="Q30" s="568"/>
    </row>
    <row r="31" spans="1:17" ht="19.5" customHeight="1">
      <c r="A31" s="335"/>
      <c r="B31" s="590"/>
      <c r="C31" s="591"/>
      <c r="D31" s="585" t="s">
        <v>263</v>
      </c>
      <c r="E31" s="397"/>
      <c r="F31" s="564"/>
      <c r="G31" s="397"/>
      <c r="H31" s="398"/>
      <c r="I31" s="397"/>
      <c r="J31" s="398"/>
      <c r="K31" s="555"/>
      <c r="L31" s="402"/>
      <c r="Q31" s="568"/>
    </row>
    <row r="32" spans="1:17" ht="19.5" customHeight="1">
      <c r="A32" s="385">
        <v>3</v>
      </c>
      <c r="B32" s="710" t="s">
        <v>91</v>
      </c>
      <c r="C32" s="711"/>
      <c r="D32" s="712"/>
      <c r="E32" s="397"/>
      <c r="F32" s="564"/>
      <c r="G32" s="397"/>
      <c r="H32" s="398"/>
      <c r="I32" s="397"/>
      <c r="J32" s="398"/>
      <c r="K32" s="586"/>
      <c r="L32" s="385"/>
      <c r="Q32" s="568"/>
    </row>
    <row r="33" spans="1:17" ht="19.5" customHeight="1">
      <c r="A33" s="588">
        <v>3.1</v>
      </c>
      <c r="B33" s="670" t="s">
        <v>55</v>
      </c>
      <c r="C33" s="670" t="s">
        <v>55</v>
      </c>
      <c r="D33" s="670" t="s">
        <v>55</v>
      </c>
      <c r="E33" s="397">
        <v>1</v>
      </c>
      <c r="F33" s="564" t="s">
        <v>49</v>
      </c>
      <c r="G33" s="397"/>
      <c r="H33" s="398"/>
      <c r="I33" s="397"/>
      <c r="J33" s="398"/>
      <c r="K33" s="566"/>
      <c r="L33" s="335"/>
      <c r="Q33" s="568"/>
    </row>
    <row r="34" spans="1:17" ht="19.5" customHeight="1">
      <c r="A34" s="589"/>
      <c r="B34" s="726" t="s">
        <v>265</v>
      </c>
      <c r="C34" s="727"/>
      <c r="D34" s="728"/>
      <c r="E34" s="397"/>
      <c r="F34" s="564"/>
      <c r="G34" s="397"/>
      <c r="H34" s="398"/>
      <c r="I34" s="397"/>
      <c r="J34" s="398"/>
      <c r="K34" s="566"/>
      <c r="L34" s="385"/>
      <c r="Q34" s="568"/>
    </row>
    <row r="35" spans="1:17" ht="19.5" customHeight="1">
      <c r="A35" s="589"/>
      <c r="B35" s="726" t="s">
        <v>266</v>
      </c>
      <c r="C35" s="727"/>
      <c r="D35" s="728"/>
      <c r="E35" s="397"/>
      <c r="F35" s="564"/>
      <c r="G35" s="397"/>
      <c r="H35" s="398"/>
      <c r="I35" s="397"/>
      <c r="J35" s="398"/>
      <c r="K35" s="566"/>
      <c r="L35" s="385"/>
      <c r="Q35" s="568"/>
    </row>
    <row r="36" spans="1:17" ht="19.5" customHeight="1">
      <c r="A36" s="589"/>
      <c r="B36" s="726" t="s">
        <v>267</v>
      </c>
      <c r="C36" s="727"/>
      <c r="D36" s="728"/>
      <c r="E36" s="397"/>
      <c r="F36" s="564"/>
      <c r="G36" s="397"/>
      <c r="H36" s="398"/>
      <c r="I36" s="397"/>
      <c r="J36" s="398"/>
      <c r="K36" s="566"/>
      <c r="L36" s="385"/>
      <c r="Q36" s="568"/>
    </row>
    <row r="37" spans="1:17" ht="19.5" customHeight="1">
      <c r="A37" s="335">
        <v>3.2</v>
      </c>
      <c r="B37" s="670" t="s">
        <v>95</v>
      </c>
      <c r="C37" s="670"/>
      <c r="D37" s="670"/>
      <c r="E37" s="397">
        <v>1</v>
      </c>
      <c r="F37" s="564" t="s">
        <v>49</v>
      </c>
      <c r="G37" s="397"/>
      <c r="H37" s="398"/>
      <c r="I37" s="397"/>
      <c r="J37" s="398"/>
      <c r="K37" s="566"/>
      <c r="L37" s="335"/>
      <c r="Q37" s="568"/>
    </row>
    <row r="38" spans="1:17" ht="19.5" customHeight="1">
      <c r="A38" s="588">
        <v>3.3</v>
      </c>
      <c r="B38" s="710" t="s">
        <v>201</v>
      </c>
      <c r="C38" s="711"/>
      <c r="D38" s="712"/>
      <c r="E38" s="397">
        <v>1</v>
      </c>
      <c r="F38" s="564" t="s">
        <v>49</v>
      </c>
      <c r="G38" s="397"/>
      <c r="H38" s="398"/>
      <c r="I38" s="397"/>
      <c r="J38" s="398"/>
      <c r="K38" s="566"/>
      <c r="L38" s="578"/>
      <c r="Q38" s="568"/>
    </row>
    <row r="39" spans="1:17" ht="19.5" customHeight="1">
      <c r="A39" s="335">
        <v>3.4</v>
      </c>
      <c r="B39" s="670" t="s">
        <v>281</v>
      </c>
      <c r="C39" s="670" t="s">
        <v>96</v>
      </c>
      <c r="D39" s="670" t="s">
        <v>96</v>
      </c>
      <c r="E39" s="397">
        <v>1</v>
      </c>
      <c r="F39" s="564" t="s">
        <v>49</v>
      </c>
      <c r="G39" s="397"/>
      <c r="H39" s="398"/>
      <c r="I39" s="565"/>
      <c r="J39" s="398"/>
      <c r="K39" s="566"/>
      <c r="L39" s="402"/>
      <c r="Q39" s="568"/>
    </row>
    <row r="40" spans="1:17" ht="19.5" customHeight="1">
      <c r="A40" s="335"/>
      <c r="B40" s="590"/>
      <c r="C40" s="591"/>
      <c r="D40" s="585" t="s">
        <v>263</v>
      </c>
      <c r="E40" s="397"/>
      <c r="F40" s="564"/>
      <c r="G40" s="397"/>
      <c r="H40" s="398"/>
      <c r="I40" s="397"/>
      <c r="J40" s="398"/>
      <c r="K40" s="555"/>
      <c r="L40" s="402"/>
      <c r="Q40" s="568"/>
    </row>
    <row r="41" spans="1:17" ht="19.5" customHeight="1">
      <c r="A41" s="385">
        <v>4</v>
      </c>
      <c r="B41" s="710" t="s">
        <v>268</v>
      </c>
      <c r="C41" s="711"/>
      <c r="D41" s="712"/>
      <c r="E41" s="397"/>
      <c r="F41" s="564"/>
      <c r="G41" s="397"/>
      <c r="H41" s="398"/>
      <c r="I41" s="397"/>
      <c r="J41" s="398"/>
      <c r="K41" s="586"/>
      <c r="L41" s="385"/>
      <c r="Q41" s="568"/>
    </row>
    <row r="42" spans="1:17" ht="19.5" customHeight="1">
      <c r="A42" s="588">
        <v>4.0999999999999996</v>
      </c>
      <c r="B42" s="670" t="s">
        <v>55</v>
      </c>
      <c r="C42" s="670" t="s">
        <v>55</v>
      </c>
      <c r="D42" s="670" t="s">
        <v>55</v>
      </c>
      <c r="E42" s="397">
        <v>1</v>
      </c>
      <c r="F42" s="564" t="s">
        <v>49</v>
      </c>
      <c r="G42" s="397"/>
      <c r="H42" s="398"/>
      <c r="I42" s="397"/>
      <c r="J42" s="398"/>
      <c r="K42" s="566"/>
      <c r="L42" s="335"/>
      <c r="Q42" s="568"/>
    </row>
    <row r="43" spans="1:17" ht="19.5" customHeight="1">
      <c r="A43" s="589"/>
      <c r="B43" s="726" t="s">
        <v>269</v>
      </c>
      <c r="C43" s="727"/>
      <c r="D43" s="728"/>
      <c r="E43" s="397"/>
      <c r="F43" s="564"/>
      <c r="G43" s="397"/>
      <c r="H43" s="398"/>
      <c r="I43" s="397"/>
      <c r="J43" s="398"/>
      <c r="K43" s="566"/>
      <c r="L43" s="385"/>
      <c r="Q43" s="568"/>
    </row>
    <row r="44" spans="1:17" ht="19.5" customHeight="1">
      <c r="A44" s="589"/>
      <c r="B44" s="726" t="s">
        <v>270</v>
      </c>
      <c r="C44" s="727"/>
      <c r="D44" s="728"/>
      <c r="E44" s="397"/>
      <c r="F44" s="564"/>
      <c r="G44" s="397"/>
      <c r="H44" s="398"/>
      <c r="I44" s="397"/>
      <c r="J44" s="398"/>
      <c r="K44" s="566"/>
      <c r="L44" s="385"/>
      <c r="Q44" s="568"/>
    </row>
    <row r="45" spans="1:17" ht="19.5" customHeight="1">
      <c r="A45" s="589"/>
      <c r="B45" s="726" t="s">
        <v>271</v>
      </c>
      <c r="C45" s="727"/>
      <c r="D45" s="728"/>
      <c r="E45" s="397"/>
      <c r="F45" s="564"/>
      <c r="G45" s="397"/>
      <c r="H45" s="398"/>
      <c r="I45" s="397"/>
      <c r="J45" s="398"/>
      <c r="K45" s="566"/>
      <c r="L45" s="385"/>
      <c r="Q45" s="568"/>
    </row>
    <row r="46" spans="1:17" ht="19.5" customHeight="1">
      <c r="A46" s="588">
        <v>4.2</v>
      </c>
      <c r="B46" s="710" t="s">
        <v>95</v>
      </c>
      <c r="C46" s="711"/>
      <c r="D46" s="712"/>
      <c r="E46" s="397">
        <v>1</v>
      </c>
      <c r="F46" s="564" t="s">
        <v>49</v>
      </c>
      <c r="G46" s="397"/>
      <c r="H46" s="398"/>
      <c r="I46" s="397"/>
      <c r="J46" s="398"/>
      <c r="K46" s="566"/>
      <c r="L46" s="335"/>
      <c r="Q46" s="568"/>
    </row>
    <row r="47" spans="1:17" ht="19.5" customHeight="1">
      <c r="A47" s="335">
        <v>4.3</v>
      </c>
      <c r="B47" s="670" t="s">
        <v>201</v>
      </c>
      <c r="C47" s="670"/>
      <c r="D47" s="670"/>
      <c r="E47" s="397">
        <v>1</v>
      </c>
      <c r="F47" s="564" t="s">
        <v>49</v>
      </c>
      <c r="G47" s="397"/>
      <c r="H47" s="398"/>
      <c r="I47" s="397"/>
      <c r="J47" s="398"/>
      <c r="K47" s="566"/>
      <c r="L47" s="593"/>
      <c r="Q47" s="568"/>
    </row>
    <row r="48" spans="1:17" ht="19.5" customHeight="1">
      <c r="A48" s="335">
        <v>4.4000000000000004</v>
      </c>
      <c r="B48" s="670" t="s">
        <v>282</v>
      </c>
      <c r="C48" s="670" t="s">
        <v>96</v>
      </c>
      <c r="D48" s="670" t="s">
        <v>96</v>
      </c>
      <c r="E48" s="397">
        <v>1</v>
      </c>
      <c r="F48" s="564" t="s">
        <v>49</v>
      </c>
      <c r="G48" s="397"/>
      <c r="H48" s="398"/>
      <c r="I48" s="397"/>
      <c r="J48" s="398"/>
      <c r="K48" s="566"/>
      <c r="L48" s="402"/>
      <c r="Q48" s="568"/>
    </row>
    <row r="49" spans="1:17" ht="19.5" customHeight="1">
      <c r="A49" s="335"/>
      <c r="B49" s="590"/>
      <c r="C49" s="591"/>
      <c r="D49" s="585" t="s">
        <v>263</v>
      </c>
      <c r="E49" s="397"/>
      <c r="F49" s="564"/>
      <c r="G49" s="397"/>
      <c r="H49" s="398"/>
      <c r="I49" s="397"/>
      <c r="J49" s="398"/>
      <c r="K49" s="555"/>
      <c r="L49" s="402"/>
      <c r="Q49" s="568"/>
    </row>
    <row r="50" spans="1:17" ht="19.5" customHeight="1">
      <c r="A50" s="385">
        <v>5</v>
      </c>
      <c r="B50" s="710" t="s">
        <v>104</v>
      </c>
      <c r="C50" s="711"/>
      <c r="D50" s="712"/>
      <c r="E50" s="397"/>
      <c r="F50" s="564"/>
      <c r="G50" s="397"/>
      <c r="H50" s="398"/>
      <c r="I50" s="397"/>
      <c r="J50" s="398"/>
      <c r="K50" s="586"/>
      <c r="L50" s="385"/>
      <c r="Q50" s="568"/>
    </row>
    <row r="51" spans="1:17" ht="19.5" customHeight="1">
      <c r="A51" s="588">
        <v>5.0999999999999996</v>
      </c>
      <c r="B51" s="710" t="s">
        <v>95</v>
      </c>
      <c r="C51" s="711"/>
      <c r="D51" s="712"/>
      <c r="E51" s="397">
        <v>1</v>
      </c>
      <c r="F51" s="564" t="s">
        <v>49</v>
      </c>
      <c r="G51" s="397"/>
      <c r="H51" s="398"/>
      <c r="I51" s="397"/>
      <c r="J51" s="398"/>
      <c r="K51" s="566"/>
      <c r="L51" s="335"/>
      <c r="Q51" s="568"/>
    </row>
    <row r="52" spans="1:17" ht="19.5" customHeight="1">
      <c r="A52" s="588">
        <v>5.2</v>
      </c>
      <c r="B52" s="670" t="s">
        <v>283</v>
      </c>
      <c r="C52" s="670" t="s">
        <v>96</v>
      </c>
      <c r="D52" s="670" t="s">
        <v>96</v>
      </c>
      <c r="E52" s="397">
        <v>1</v>
      </c>
      <c r="F52" s="564" t="s">
        <v>49</v>
      </c>
      <c r="G52" s="397"/>
      <c r="H52" s="398"/>
      <c r="I52" s="397"/>
      <c r="J52" s="398"/>
      <c r="K52" s="566"/>
      <c r="L52" s="335"/>
      <c r="Q52" s="568"/>
    </row>
    <row r="53" spans="1:17" ht="19.5" customHeight="1">
      <c r="A53" s="588"/>
      <c r="B53" s="590"/>
      <c r="C53" s="591"/>
      <c r="D53" s="585" t="s">
        <v>263</v>
      </c>
      <c r="E53" s="397"/>
      <c r="F53" s="564"/>
      <c r="G53" s="397"/>
      <c r="H53" s="398"/>
      <c r="I53" s="397"/>
      <c r="J53" s="398"/>
      <c r="K53" s="555"/>
      <c r="L53" s="335"/>
      <c r="Q53" s="568"/>
    </row>
    <row r="54" spans="1:17" ht="19.5" customHeight="1">
      <c r="A54" s="335">
        <v>6</v>
      </c>
      <c r="B54" s="710" t="s">
        <v>211</v>
      </c>
      <c r="C54" s="711"/>
      <c r="D54" s="712"/>
      <c r="E54" s="397">
        <v>1</v>
      </c>
      <c r="F54" s="564" t="s">
        <v>49</v>
      </c>
      <c r="G54" s="397"/>
      <c r="H54" s="398"/>
      <c r="I54" s="397"/>
      <c r="J54" s="397"/>
      <c r="K54" s="566"/>
      <c r="L54" s="385"/>
      <c r="Q54" s="568"/>
    </row>
    <row r="55" spans="1:17" ht="19.5" customHeight="1">
      <c r="A55" s="594"/>
      <c r="B55" s="732" t="s">
        <v>263</v>
      </c>
      <c r="C55" s="732"/>
      <c r="D55" s="732"/>
      <c r="E55" s="390"/>
      <c r="F55" s="385"/>
      <c r="G55" s="397"/>
      <c r="H55" s="398"/>
      <c r="I55" s="398"/>
      <c r="J55" s="398"/>
      <c r="K55" s="556"/>
      <c r="L55" s="403"/>
      <c r="Q55" s="568"/>
    </row>
    <row r="56" spans="1:17" ht="19.5" customHeight="1">
      <c r="A56" s="722" t="s">
        <v>14</v>
      </c>
      <c r="B56" s="722"/>
      <c r="C56" s="722"/>
      <c r="D56" s="722"/>
      <c r="E56" s="722"/>
      <c r="F56" s="722"/>
      <c r="G56" s="722"/>
      <c r="H56" s="326"/>
      <c r="I56" s="326"/>
      <c r="J56" s="326"/>
      <c r="K56" s="326"/>
      <c r="L56" s="335"/>
      <c r="O56" s="400"/>
      <c r="Q56" s="568"/>
    </row>
    <row r="57" spans="1:17" ht="16.5" customHeight="1">
      <c r="A57" s="592"/>
      <c r="B57" s="592"/>
      <c r="C57" s="592"/>
      <c r="D57" s="592"/>
      <c r="E57" s="592"/>
      <c r="F57" s="592"/>
      <c r="G57" s="592"/>
      <c r="H57" s="558"/>
      <c r="I57" s="558"/>
      <c r="J57" s="558"/>
      <c r="K57" s="558"/>
      <c r="L57" s="592"/>
      <c r="O57" s="400"/>
    </row>
    <row r="58" spans="1:17" ht="32.25" customHeight="1"/>
    <row r="59" spans="1:17" ht="13.5" customHeight="1"/>
    <row r="60" spans="1:17" ht="13.5" customHeight="1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</row>
    <row r="61" spans="1:17" ht="8.25" hidden="1" customHeight="1">
      <c r="A61" s="381"/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</row>
    <row r="62" spans="1:17" ht="11.25" hidden="1" customHeigh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</row>
    <row r="63" spans="1:17" ht="6" hidden="1" customHeight="1"/>
    <row r="64" spans="1:17">
      <c r="K64" s="399"/>
    </row>
  </sheetData>
  <mergeCells count="57">
    <mergeCell ref="B7:D7"/>
    <mergeCell ref="B9:D9"/>
    <mergeCell ref="B10:D10"/>
    <mergeCell ref="B11:D11"/>
    <mergeCell ref="B8:D8"/>
    <mergeCell ref="A1:L1"/>
    <mergeCell ref="A3:C3"/>
    <mergeCell ref="A4:C4"/>
    <mergeCell ref="D4:G4"/>
    <mergeCell ref="A5:A6"/>
    <mergeCell ref="B5:D6"/>
    <mergeCell ref="E5:E6"/>
    <mergeCell ref="F5:F6"/>
    <mergeCell ref="G5:H5"/>
    <mergeCell ref="I5:J5"/>
    <mergeCell ref="K5:K6"/>
    <mergeCell ref="L5:L6"/>
    <mergeCell ref="B12:D12"/>
    <mergeCell ref="B13:D13"/>
    <mergeCell ref="B14:D14"/>
    <mergeCell ref="B46:D46"/>
    <mergeCell ref="B36:D36"/>
    <mergeCell ref="B16:D16"/>
    <mergeCell ref="B55:D55"/>
    <mergeCell ref="A56:G56"/>
    <mergeCell ref="B52:D52"/>
    <mergeCell ref="B39:D39"/>
    <mergeCell ref="B42:D42"/>
    <mergeCell ref="B43:D43"/>
    <mergeCell ref="B44:D44"/>
    <mergeCell ref="B45:D45"/>
    <mergeCell ref="B41:D41"/>
    <mergeCell ref="B50:D50"/>
    <mergeCell ref="B54:D54"/>
    <mergeCell ref="B15:D15"/>
    <mergeCell ref="B23:D23"/>
    <mergeCell ref="B24:D24"/>
    <mergeCell ref="B25:D25"/>
    <mergeCell ref="B27:D27"/>
    <mergeCell ref="B28:D28"/>
    <mergeCell ref="B34:D34"/>
    <mergeCell ref="B35:D35"/>
    <mergeCell ref="B33:D33"/>
    <mergeCell ref="B51:D51"/>
    <mergeCell ref="B47:D47"/>
    <mergeCell ref="B48:D48"/>
    <mergeCell ref="B38:D38"/>
    <mergeCell ref="B20:D20"/>
    <mergeCell ref="B17:D17"/>
    <mergeCell ref="B18:D18"/>
    <mergeCell ref="B37:D37"/>
    <mergeCell ref="B32:D32"/>
    <mergeCell ref="B22:D22"/>
    <mergeCell ref="B21:D21"/>
    <mergeCell ref="B26:D26"/>
    <mergeCell ref="B29:D29"/>
    <mergeCell ref="B30:D30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&amp;R&amp;"TH SarabunIT๙,Regular"&amp;16ปร4(ก) หน้า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K83"/>
  <sheetViews>
    <sheetView showRuler="0" topLeftCell="A49" zoomScale="90" zoomScaleNormal="90" zoomScalePageLayoutView="76" workbookViewId="0">
      <selection activeCell="G61" sqref="G61"/>
    </sheetView>
  </sheetViews>
  <sheetFormatPr defaultColWidth="9.140625" defaultRowHeight="19.5"/>
  <cols>
    <col min="1" max="1" width="6.5703125" style="383" customWidth="1"/>
    <col min="2" max="2" width="9.140625" style="383" customWidth="1"/>
    <col min="3" max="3" width="9.7109375" style="383" customWidth="1"/>
    <col min="4" max="4" width="38.140625" style="383" customWidth="1"/>
    <col min="5" max="5" width="7" style="383" customWidth="1"/>
    <col min="6" max="6" width="8.7109375" style="383" customWidth="1"/>
    <col min="7" max="7" width="13.5703125" style="383" customWidth="1"/>
    <col min="8" max="8" width="13.7109375" style="383" customWidth="1"/>
    <col min="9" max="9" width="11.28515625" style="383" customWidth="1"/>
    <col min="10" max="10" width="8.7109375" style="383" customWidth="1"/>
    <col min="11" max="11" width="14.5703125" style="383" customWidth="1"/>
    <col min="12" max="12" width="7.7109375" style="383" customWidth="1"/>
    <col min="13" max="13" width="12.140625" style="383" customWidth="1"/>
    <col min="14" max="14" width="14.28515625" style="383" customWidth="1"/>
    <col min="15" max="15" width="13.85546875" style="383" customWidth="1"/>
    <col min="16" max="16" width="12.85546875" style="383" customWidth="1"/>
    <col min="17" max="17" width="14.42578125" style="383" customWidth="1"/>
    <col min="18" max="18" width="14.28515625" style="383" customWidth="1"/>
    <col min="19" max="19" width="15.7109375" style="513" customWidth="1"/>
    <col min="20" max="20" width="8.85546875" style="383" customWidth="1"/>
    <col min="21" max="21" width="11" style="383" customWidth="1"/>
    <col min="22" max="22" width="13.85546875" style="383" customWidth="1"/>
    <col min="23" max="23" width="10.28515625" style="383" customWidth="1"/>
    <col min="24" max="40" width="9.140625" style="383" customWidth="1"/>
    <col min="41" max="16384" width="9.140625" style="383"/>
  </cols>
  <sheetData>
    <row r="1" spans="1:22" ht="33.75" customHeight="1">
      <c r="A1" s="734" t="s">
        <v>23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354"/>
    </row>
    <row r="2" spans="1:22" ht="22.5" customHeight="1">
      <c r="A2" s="394" t="s">
        <v>33</v>
      </c>
      <c r="B2" s="394"/>
      <c r="C2" s="396"/>
      <c r="D2" s="735" t="s">
        <v>99</v>
      </c>
      <c r="E2" s="735"/>
      <c r="F2" s="735"/>
      <c r="G2" s="735"/>
      <c r="H2" s="735"/>
      <c r="I2" s="735"/>
      <c r="J2" s="735"/>
      <c r="K2" s="735"/>
      <c r="L2" s="735"/>
    </row>
    <row r="3" spans="1:22" ht="22.5" customHeight="1">
      <c r="A3" s="736" t="s">
        <v>0</v>
      </c>
      <c r="B3" s="736"/>
      <c r="C3" s="736"/>
      <c r="D3" s="394" t="s">
        <v>48</v>
      </c>
      <c r="E3" s="394"/>
      <c r="F3" s="394"/>
      <c r="G3" s="394"/>
      <c r="H3" s="394"/>
      <c r="I3" s="394"/>
      <c r="J3" s="394"/>
      <c r="K3" s="394"/>
      <c r="L3" s="382"/>
    </row>
    <row r="4" spans="1:22" ht="22.5" customHeight="1">
      <c r="A4" s="736" t="s">
        <v>7</v>
      </c>
      <c r="B4" s="736"/>
      <c r="C4" s="736"/>
      <c r="D4" s="736" t="s">
        <v>138</v>
      </c>
      <c r="E4" s="736"/>
      <c r="F4" s="736"/>
      <c r="G4" s="736"/>
      <c r="H4" s="355" t="s">
        <v>237</v>
      </c>
      <c r="I4" s="355"/>
      <c r="J4" s="404"/>
      <c r="K4" s="404"/>
      <c r="L4" s="405"/>
    </row>
    <row r="5" spans="1:22" ht="22.5" customHeight="1">
      <c r="A5" s="722" t="s">
        <v>3</v>
      </c>
      <c r="B5" s="722" t="s">
        <v>4</v>
      </c>
      <c r="C5" s="722"/>
      <c r="D5" s="722"/>
      <c r="E5" s="725" t="s">
        <v>11</v>
      </c>
      <c r="F5" s="722" t="s">
        <v>13</v>
      </c>
      <c r="G5" s="723" t="s">
        <v>18</v>
      </c>
      <c r="H5" s="723"/>
      <c r="I5" s="723" t="s">
        <v>15</v>
      </c>
      <c r="J5" s="723"/>
      <c r="K5" s="724" t="s">
        <v>17</v>
      </c>
      <c r="L5" s="722" t="s">
        <v>5</v>
      </c>
      <c r="N5" s="651" t="s">
        <v>111</v>
      </c>
      <c r="O5" s="651"/>
      <c r="P5" s="651"/>
      <c r="Q5" s="651"/>
      <c r="R5" s="651"/>
    </row>
    <row r="6" spans="1:22" ht="25.5" customHeight="1">
      <c r="A6" s="722"/>
      <c r="B6" s="722"/>
      <c r="C6" s="722"/>
      <c r="D6" s="722"/>
      <c r="E6" s="725"/>
      <c r="F6" s="722"/>
      <c r="G6" s="326" t="s">
        <v>24</v>
      </c>
      <c r="H6" s="326" t="s">
        <v>16</v>
      </c>
      <c r="I6" s="326" t="s">
        <v>24</v>
      </c>
      <c r="J6" s="326" t="s">
        <v>16</v>
      </c>
      <c r="K6" s="724"/>
      <c r="L6" s="722"/>
      <c r="N6" s="406" t="s">
        <v>109</v>
      </c>
      <c r="O6" s="407" t="s">
        <v>121</v>
      </c>
      <c r="P6" s="407" t="s">
        <v>122</v>
      </c>
      <c r="Q6" s="407" t="s">
        <v>235</v>
      </c>
      <c r="R6" s="523"/>
    </row>
    <row r="7" spans="1:22" ht="27" customHeight="1">
      <c r="A7" s="335"/>
      <c r="B7" s="710" t="s">
        <v>205</v>
      </c>
      <c r="C7" s="711"/>
      <c r="D7" s="712"/>
      <c r="E7" s="393"/>
      <c r="F7" s="335"/>
      <c r="G7" s="326"/>
      <c r="H7" s="326"/>
      <c r="I7" s="326"/>
      <c r="J7" s="326"/>
      <c r="K7" s="392"/>
      <c r="L7" s="335"/>
      <c r="N7" s="406"/>
      <c r="O7" s="407"/>
      <c r="P7" s="407"/>
      <c r="Q7" s="407"/>
      <c r="R7" s="362"/>
      <c r="S7" s="518"/>
    </row>
    <row r="8" spans="1:22" ht="24" customHeight="1">
      <c r="A8" s="335">
        <v>2.1</v>
      </c>
      <c r="B8" s="710" t="s">
        <v>193</v>
      </c>
      <c r="C8" s="711"/>
      <c r="D8" s="712"/>
      <c r="E8" s="393"/>
      <c r="F8" s="335"/>
      <c r="G8" s="326"/>
      <c r="H8" s="326"/>
      <c r="I8" s="326"/>
      <c r="J8" s="326"/>
      <c r="K8" s="392"/>
      <c r="L8" s="335"/>
      <c r="N8" s="406"/>
      <c r="O8" s="407"/>
      <c r="P8" s="407"/>
      <c r="Q8" s="407"/>
      <c r="R8" s="362"/>
      <c r="S8" s="518"/>
    </row>
    <row r="9" spans="1:22" ht="21" customHeight="1">
      <c r="A9" s="738" t="s">
        <v>60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40"/>
      <c r="N9" s="408" t="s">
        <v>133</v>
      </c>
      <c r="O9" s="409" t="s">
        <v>135</v>
      </c>
      <c r="P9" s="409" t="s">
        <v>134</v>
      </c>
      <c r="Q9" s="409" t="s">
        <v>147</v>
      </c>
      <c r="R9" s="409" t="s">
        <v>148</v>
      </c>
      <c r="S9" s="524" t="s">
        <v>259</v>
      </c>
    </row>
    <row r="10" spans="1:22" s="418" customFormat="1" ht="21.75" customHeight="1">
      <c r="A10" s="410">
        <v>1</v>
      </c>
      <c r="B10" s="411" t="s">
        <v>61</v>
      </c>
      <c r="C10" s="411"/>
      <c r="D10" s="411"/>
      <c r="E10" s="412">
        <v>2</v>
      </c>
      <c r="F10" s="410" t="s">
        <v>50</v>
      </c>
      <c r="G10" s="390">
        <f>AVERAGE(N10:S10)</f>
        <v>129566.66666666667</v>
      </c>
      <c r="H10" s="413">
        <f>SUM(G10)*$E10</f>
        <v>259133.33333333334</v>
      </c>
      <c r="I10" s="390"/>
      <c r="J10" s="414">
        <f>SUM(I10)*$E10</f>
        <v>0</v>
      </c>
      <c r="K10" s="414">
        <f>H10</f>
        <v>259133.33333333334</v>
      </c>
      <c r="L10" s="415"/>
      <c r="M10" s="416"/>
      <c r="N10" s="417">
        <v>136000</v>
      </c>
      <c r="O10" s="468">
        <v>80000</v>
      </c>
      <c r="P10" s="468">
        <v>150000</v>
      </c>
      <c r="Q10" s="422">
        <v>155000</v>
      </c>
      <c r="R10" s="468">
        <v>166400</v>
      </c>
      <c r="S10" s="525">
        <v>90000</v>
      </c>
      <c r="V10" s="419"/>
    </row>
    <row r="11" spans="1:22" s="382" customFormat="1" ht="21.75" customHeight="1">
      <c r="A11" s="385">
        <v>2</v>
      </c>
      <c r="B11" s="384" t="s">
        <v>87</v>
      </c>
      <c r="C11" s="384"/>
      <c r="D11" s="384"/>
      <c r="E11" s="390">
        <v>1</v>
      </c>
      <c r="F11" s="420" t="s">
        <v>50</v>
      </c>
      <c r="G11" s="390">
        <f t="shared" ref="G11:G28" si="0">AVERAGE(N11:S11)</f>
        <v>111561.66666666667</v>
      </c>
      <c r="H11" s="413">
        <f>SUM(G11)*$E11</f>
        <v>111561.66666666667</v>
      </c>
      <c r="I11" s="390"/>
      <c r="J11" s="413">
        <f>SUM(I11)*$E11</f>
        <v>0</v>
      </c>
      <c r="K11" s="414">
        <f>SUM(,H11,J11)</f>
        <v>111561.66666666667</v>
      </c>
      <c r="L11" s="415"/>
      <c r="M11" s="421"/>
      <c r="N11" s="422">
        <v>119000</v>
      </c>
      <c r="O11" s="386">
        <v>66670</v>
      </c>
      <c r="P11" s="386">
        <v>105000</v>
      </c>
      <c r="Q11" s="422">
        <v>129800</v>
      </c>
      <c r="R11" s="386">
        <v>138900</v>
      </c>
      <c r="S11" s="423">
        <v>110000</v>
      </c>
    </row>
    <row r="12" spans="1:22" s="382" customFormat="1" ht="21.75" customHeight="1">
      <c r="A12" s="385">
        <v>3</v>
      </c>
      <c r="B12" s="384" t="s">
        <v>212</v>
      </c>
      <c r="C12" s="384"/>
      <c r="D12" s="384"/>
      <c r="E12" s="390">
        <v>1</v>
      </c>
      <c r="F12" s="420" t="s">
        <v>50</v>
      </c>
      <c r="G12" s="390">
        <f t="shared" si="0"/>
        <v>123726.66666666667</v>
      </c>
      <c r="H12" s="413">
        <f t="shared" ref="H12:H30" si="1">SUM(G12)*$E12</f>
        <v>123726.66666666667</v>
      </c>
      <c r="I12" s="390"/>
      <c r="J12" s="413">
        <f t="shared" ref="J12:J15" si="2">SUM(I12)*$E12</f>
        <v>0</v>
      </c>
      <c r="K12" s="414">
        <f t="shared" ref="K12:K14" si="3">SUM(,H12,J12)</f>
        <v>123726.66666666667</v>
      </c>
      <c r="L12" s="415"/>
      <c r="M12" s="421"/>
      <c r="N12" s="422">
        <v>125000</v>
      </c>
      <c r="O12" s="386">
        <v>75560</v>
      </c>
      <c r="P12" s="386">
        <v>125000</v>
      </c>
      <c r="Q12" s="422">
        <v>145800</v>
      </c>
      <c r="R12" s="386">
        <v>156000</v>
      </c>
      <c r="S12" s="423">
        <v>115000</v>
      </c>
    </row>
    <row r="13" spans="1:22" s="382" customFormat="1" ht="21.75" customHeight="1">
      <c r="A13" s="385">
        <v>4</v>
      </c>
      <c r="B13" s="384" t="s">
        <v>63</v>
      </c>
      <c r="C13" s="384"/>
      <c r="D13" s="384"/>
      <c r="E13" s="390">
        <v>4</v>
      </c>
      <c r="F13" s="420" t="s">
        <v>52</v>
      </c>
      <c r="G13" s="390">
        <f t="shared" si="0"/>
        <v>22780</v>
      </c>
      <c r="H13" s="413">
        <f t="shared" si="1"/>
        <v>91120</v>
      </c>
      <c r="I13" s="390"/>
      <c r="J13" s="413">
        <f t="shared" si="2"/>
        <v>0</v>
      </c>
      <c r="K13" s="414">
        <f t="shared" si="3"/>
        <v>91120</v>
      </c>
      <c r="L13" s="415"/>
      <c r="M13" s="421"/>
      <c r="N13" s="422">
        <v>20000</v>
      </c>
      <c r="O13" s="386">
        <v>17780</v>
      </c>
      <c r="P13" s="386">
        <v>28000</v>
      </c>
      <c r="Q13" s="422">
        <v>27000</v>
      </c>
      <c r="R13" s="386">
        <v>28900</v>
      </c>
      <c r="S13" s="423">
        <v>15000</v>
      </c>
    </row>
    <row r="14" spans="1:22" s="382" customFormat="1" ht="21.75" customHeight="1">
      <c r="A14" s="385">
        <v>5</v>
      </c>
      <c r="B14" s="391" t="s">
        <v>213</v>
      </c>
      <c r="C14" s="391"/>
      <c r="D14" s="391"/>
      <c r="E14" s="390">
        <v>1</v>
      </c>
      <c r="F14" s="420" t="s">
        <v>52</v>
      </c>
      <c r="G14" s="390">
        <f t="shared" si="0"/>
        <v>380403.33333333331</v>
      </c>
      <c r="H14" s="413">
        <f t="shared" si="1"/>
        <v>380403.33333333331</v>
      </c>
      <c r="I14" s="390"/>
      <c r="J14" s="413">
        <f t="shared" si="2"/>
        <v>0</v>
      </c>
      <c r="K14" s="414">
        <f t="shared" si="3"/>
        <v>380403.33333333331</v>
      </c>
      <c r="L14" s="415"/>
      <c r="M14" s="421"/>
      <c r="N14" s="422">
        <v>555000</v>
      </c>
      <c r="O14" s="386">
        <v>311120</v>
      </c>
      <c r="P14" s="386">
        <v>390000</v>
      </c>
      <c r="Q14" s="422">
        <v>375000</v>
      </c>
      <c r="R14" s="386">
        <v>401300</v>
      </c>
      <c r="S14" s="423">
        <v>250000</v>
      </c>
    </row>
    <row r="15" spans="1:22" s="382" customFormat="1" ht="21.75" customHeight="1">
      <c r="A15" s="385">
        <v>6</v>
      </c>
      <c r="B15" s="391" t="s">
        <v>214</v>
      </c>
      <c r="C15" s="391"/>
      <c r="D15" s="391"/>
      <c r="E15" s="390">
        <v>2</v>
      </c>
      <c r="F15" s="420" t="s">
        <v>52</v>
      </c>
      <c r="G15" s="390">
        <f t="shared" si="0"/>
        <v>432823.33333333331</v>
      </c>
      <c r="H15" s="413">
        <f t="shared" si="1"/>
        <v>865646.66666666663</v>
      </c>
      <c r="I15" s="390"/>
      <c r="J15" s="413">
        <f t="shared" si="2"/>
        <v>0</v>
      </c>
      <c r="K15" s="414">
        <f>SUM(,H15,J15)</f>
        <v>865646.66666666663</v>
      </c>
      <c r="L15" s="415"/>
      <c r="M15" s="421"/>
      <c r="N15" s="422">
        <v>540000</v>
      </c>
      <c r="O15" s="386">
        <v>433340</v>
      </c>
      <c r="P15" s="386">
        <v>380000</v>
      </c>
      <c r="Q15" s="422">
        <v>480000</v>
      </c>
      <c r="R15" s="386">
        <v>513600</v>
      </c>
      <c r="S15" s="423">
        <v>250000</v>
      </c>
    </row>
    <row r="16" spans="1:22" s="382" customFormat="1" ht="21.75" customHeight="1">
      <c r="A16" s="385">
        <v>7</v>
      </c>
      <c r="B16" s="391" t="s">
        <v>215</v>
      </c>
      <c r="C16" s="391"/>
      <c r="D16" s="391"/>
      <c r="E16" s="390">
        <v>1</v>
      </c>
      <c r="F16" s="420" t="s">
        <v>52</v>
      </c>
      <c r="G16" s="390">
        <f t="shared" si="0"/>
        <v>320636.66666666669</v>
      </c>
      <c r="H16" s="413">
        <f t="shared" si="1"/>
        <v>320636.66666666669</v>
      </c>
      <c r="I16" s="390"/>
      <c r="J16" s="413">
        <f t="shared" ref="J16:J30" si="4">SUM(I16)*$E16</f>
        <v>0</v>
      </c>
      <c r="K16" s="414">
        <f t="shared" ref="K16:K30" si="5">SUM(,H16,J16)</f>
        <v>320636.66666666669</v>
      </c>
      <c r="L16" s="415"/>
      <c r="M16" s="421"/>
      <c r="N16" s="422">
        <v>430000</v>
      </c>
      <c r="O16" s="386">
        <v>311120</v>
      </c>
      <c r="P16" s="386">
        <v>280000</v>
      </c>
      <c r="Q16" s="422">
        <v>296000</v>
      </c>
      <c r="R16" s="386">
        <v>316700</v>
      </c>
      <c r="S16" s="423">
        <v>290000</v>
      </c>
    </row>
    <row r="17" spans="1:19" s="382" customFormat="1" ht="21.75" customHeight="1">
      <c r="A17" s="385">
        <v>8</v>
      </c>
      <c r="B17" s="726" t="s">
        <v>53</v>
      </c>
      <c r="C17" s="727"/>
      <c r="D17" s="728"/>
      <c r="E17" s="390">
        <v>12</v>
      </c>
      <c r="F17" s="385" t="s">
        <v>51</v>
      </c>
      <c r="G17" s="390">
        <f t="shared" si="0"/>
        <v>5213.333333333333</v>
      </c>
      <c r="H17" s="413">
        <f>SUM(G17)*$E17</f>
        <v>62560</v>
      </c>
      <c r="I17" s="390"/>
      <c r="J17" s="413">
        <f t="shared" si="4"/>
        <v>0</v>
      </c>
      <c r="K17" s="414">
        <f t="shared" si="5"/>
        <v>62560</v>
      </c>
      <c r="L17" s="415"/>
      <c r="M17" s="421"/>
      <c r="N17" s="422">
        <v>5000</v>
      </c>
      <c r="O17" s="469">
        <v>2780</v>
      </c>
      <c r="P17" s="386">
        <v>4000</v>
      </c>
      <c r="Q17" s="422">
        <v>7000</v>
      </c>
      <c r="R17" s="386">
        <v>7500</v>
      </c>
      <c r="S17" s="423">
        <v>5000</v>
      </c>
    </row>
    <row r="18" spans="1:19" s="382" customFormat="1" ht="21.75" customHeight="1">
      <c r="A18" s="385">
        <v>9</v>
      </c>
      <c r="B18" s="714" t="s">
        <v>216</v>
      </c>
      <c r="C18" s="714"/>
      <c r="D18" s="714"/>
      <c r="E18" s="390">
        <v>1</v>
      </c>
      <c r="F18" s="385" t="s">
        <v>50</v>
      </c>
      <c r="G18" s="390">
        <f t="shared" si="0"/>
        <v>38231.666666666664</v>
      </c>
      <c r="H18" s="413">
        <f t="shared" si="1"/>
        <v>38231.666666666664</v>
      </c>
      <c r="I18" s="390"/>
      <c r="J18" s="413">
        <f t="shared" si="4"/>
        <v>0</v>
      </c>
      <c r="K18" s="414">
        <f t="shared" si="5"/>
        <v>38231.666666666664</v>
      </c>
      <c r="L18" s="415"/>
      <c r="M18" s="421"/>
      <c r="N18" s="422">
        <v>45000</v>
      </c>
      <c r="O18" s="469">
        <v>38890</v>
      </c>
      <c r="P18" s="386">
        <v>32000</v>
      </c>
      <c r="Q18" s="422">
        <v>50000</v>
      </c>
      <c r="R18" s="386">
        <v>53500</v>
      </c>
      <c r="S18" s="423">
        <v>10000</v>
      </c>
    </row>
    <row r="19" spans="1:19" s="382" customFormat="1" ht="24.6" customHeight="1">
      <c r="A19" s="385">
        <v>10</v>
      </c>
      <c r="B19" s="391" t="s">
        <v>217</v>
      </c>
      <c r="C19" s="391"/>
      <c r="D19" s="391"/>
      <c r="E19" s="390">
        <v>1</v>
      </c>
      <c r="F19" s="385" t="s">
        <v>50</v>
      </c>
      <c r="G19" s="390">
        <f t="shared" si="0"/>
        <v>209145</v>
      </c>
      <c r="H19" s="413">
        <f t="shared" si="1"/>
        <v>209145</v>
      </c>
      <c r="I19" s="390"/>
      <c r="J19" s="413">
        <f t="shared" si="4"/>
        <v>0</v>
      </c>
      <c r="K19" s="414">
        <f t="shared" si="5"/>
        <v>209145</v>
      </c>
      <c r="L19" s="415"/>
      <c r="M19" s="421"/>
      <c r="N19" s="422">
        <v>265000</v>
      </c>
      <c r="O19" s="386">
        <v>81670</v>
      </c>
      <c r="P19" s="386">
        <v>230000</v>
      </c>
      <c r="Q19" s="422">
        <v>260000</v>
      </c>
      <c r="R19" s="386">
        <v>278200</v>
      </c>
      <c r="S19" s="423">
        <v>140000</v>
      </c>
    </row>
    <row r="20" spans="1:19" s="382" customFormat="1" ht="24.6" customHeight="1">
      <c r="A20" s="385">
        <v>11</v>
      </c>
      <c r="B20" s="391" t="s">
        <v>66</v>
      </c>
      <c r="C20" s="391"/>
      <c r="D20" s="391"/>
      <c r="E20" s="390">
        <v>1</v>
      </c>
      <c r="F20" s="385" t="s">
        <v>52</v>
      </c>
      <c r="G20" s="390">
        <f t="shared" si="0"/>
        <v>22113.333333333332</v>
      </c>
      <c r="H20" s="413">
        <f t="shared" si="1"/>
        <v>22113.333333333332</v>
      </c>
      <c r="I20" s="390"/>
      <c r="J20" s="413">
        <f t="shared" si="4"/>
        <v>0</v>
      </c>
      <c r="K20" s="414">
        <f t="shared" si="5"/>
        <v>22113.333333333332</v>
      </c>
      <c r="L20" s="415"/>
      <c r="M20" s="421"/>
      <c r="N20" s="422">
        <v>19000</v>
      </c>
      <c r="O20" s="386">
        <v>17780</v>
      </c>
      <c r="P20" s="386">
        <v>26000</v>
      </c>
      <c r="Q20" s="422">
        <v>27000</v>
      </c>
      <c r="R20" s="386">
        <v>28900</v>
      </c>
      <c r="S20" s="423">
        <v>14000</v>
      </c>
    </row>
    <row r="21" spans="1:19" s="382" customFormat="1" ht="24.6" customHeight="1">
      <c r="A21" s="385">
        <v>12</v>
      </c>
      <c r="B21" s="391" t="s">
        <v>218</v>
      </c>
      <c r="C21" s="391"/>
      <c r="D21" s="391"/>
      <c r="E21" s="390">
        <v>1</v>
      </c>
      <c r="F21" s="385" t="s">
        <v>52</v>
      </c>
      <c r="G21" s="390">
        <f t="shared" si="0"/>
        <v>18546.666666666668</v>
      </c>
      <c r="H21" s="413">
        <f t="shared" si="1"/>
        <v>18546.666666666668</v>
      </c>
      <c r="I21" s="390"/>
      <c r="J21" s="413">
        <f t="shared" si="4"/>
        <v>0</v>
      </c>
      <c r="K21" s="414">
        <f t="shared" si="5"/>
        <v>18546.666666666668</v>
      </c>
      <c r="L21" s="415"/>
      <c r="M21" s="421"/>
      <c r="N21" s="422">
        <v>14000</v>
      </c>
      <c r="O21" s="386">
        <v>17780</v>
      </c>
      <c r="P21" s="386">
        <v>22000</v>
      </c>
      <c r="Q21" s="422">
        <v>22000</v>
      </c>
      <c r="R21" s="386">
        <v>23500</v>
      </c>
      <c r="S21" s="423">
        <v>12000</v>
      </c>
    </row>
    <row r="22" spans="1:19" s="382" customFormat="1" ht="24.6" customHeight="1">
      <c r="A22" s="385">
        <v>13</v>
      </c>
      <c r="B22" s="391" t="s">
        <v>68</v>
      </c>
      <c r="C22" s="391"/>
      <c r="D22" s="391"/>
      <c r="E22" s="390">
        <v>1</v>
      </c>
      <c r="F22" s="385" t="s">
        <v>52</v>
      </c>
      <c r="G22" s="390">
        <f t="shared" si="0"/>
        <v>13118</v>
      </c>
      <c r="H22" s="413">
        <f t="shared" si="1"/>
        <v>13118</v>
      </c>
      <c r="I22" s="390"/>
      <c r="J22" s="413">
        <f t="shared" si="4"/>
        <v>0</v>
      </c>
      <c r="K22" s="414">
        <f t="shared" si="5"/>
        <v>13118</v>
      </c>
      <c r="L22" s="415"/>
      <c r="M22" s="421"/>
      <c r="N22" s="422">
        <v>8000</v>
      </c>
      <c r="O22" s="386">
        <v>13340</v>
      </c>
      <c r="P22" s="386">
        <v>13000</v>
      </c>
      <c r="Q22" s="422">
        <v>15000</v>
      </c>
      <c r="R22" s="386">
        <v>16100</v>
      </c>
      <c r="S22" s="423">
        <v>13268</v>
      </c>
    </row>
    <row r="23" spans="1:19" s="382" customFormat="1" ht="24.6" customHeight="1">
      <c r="A23" s="385">
        <v>14</v>
      </c>
      <c r="B23" s="391" t="s">
        <v>69</v>
      </c>
      <c r="C23" s="391"/>
      <c r="D23" s="391"/>
      <c r="E23" s="390">
        <v>1</v>
      </c>
      <c r="F23" s="385" t="s">
        <v>50</v>
      </c>
      <c r="G23" s="390">
        <f t="shared" si="0"/>
        <v>29780</v>
      </c>
      <c r="H23" s="413">
        <f t="shared" si="1"/>
        <v>29780</v>
      </c>
      <c r="I23" s="390"/>
      <c r="J23" s="413">
        <f t="shared" si="4"/>
        <v>0</v>
      </c>
      <c r="K23" s="414">
        <f t="shared" si="5"/>
        <v>29780</v>
      </c>
      <c r="L23" s="415"/>
      <c r="M23" s="421"/>
      <c r="N23" s="422">
        <v>18000</v>
      </c>
      <c r="O23" s="386">
        <v>57780</v>
      </c>
      <c r="P23" s="386">
        <v>25000</v>
      </c>
      <c r="Q23" s="422">
        <v>27000</v>
      </c>
      <c r="R23" s="386">
        <v>28900</v>
      </c>
      <c r="S23" s="423">
        <v>22000</v>
      </c>
    </row>
    <row r="24" spans="1:19" s="382" customFormat="1" ht="24.6" customHeight="1">
      <c r="A24" s="385">
        <v>15</v>
      </c>
      <c r="B24" s="391" t="s">
        <v>70</v>
      </c>
      <c r="C24" s="391"/>
      <c r="D24" s="391"/>
      <c r="E24" s="390">
        <v>3</v>
      </c>
      <c r="F24" s="385" t="s">
        <v>50</v>
      </c>
      <c r="G24" s="390">
        <f t="shared" si="0"/>
        <v>24241.666666666668</v>
      </c>
      <c r="H24" s="413">
        <f t="shared" si="1"/>
        <v>72725</v>
      </c>
      <c r="I24" s="390"/>
      <c r="J24" s="413">
        <f t="shared" si="4"/>
        <v>0</v>
      </c>
      <c r="K24" s="414">
        <f t="shared" si="5"/>
        <v>72725</v>
      </c>
      <c r="L24" s="415"/>
      <c r="M24" s="421"/>
      <c r="N24" s="422">
        <v>19000</v>
      </c>
      <c r="O24" s="386">
        <v>24450</v>
      </c>
      <c r="P24" s="386">
        <v>18000</v>
      </c>
      <c r="Q24" s="422">
        <v>29000</v>
      </c>
      <c r="R24" s="386">
        <v>31000</v>
      </c>
      <c r="S24" s="423">
        <v>24000</v>
      </c>
    </row>
    <row r="25" spans="1:19" s="382" customFormat="1" ht="24.6" customHeight="1">
      <c r="A25" s="385">
        <v>16</v>
      </c>
      <c r="B25" s="391" t="s">
        <v>71</v>
      </c>
      <c r="C25" s="391"/>
      <c r="D25" s="391"/>
      <c r="E25" s="390">
        <v>3</v>
      </c>
      <c r="F25" s="385" t="s">
        <v>50</v>
      </c>
      <c r="G25" s="390">
        <f t="shared" si="0"/>
        <v>24558.333333333332</v>
      </c>
      <c r="H25" s="413">
        <f t="shared" si="1"/>
        <v>73675</v>
      </c>
      <c r="I25" s="390"/>
      <c r="J25" s="413">
        <f t="shared" si="4"/>
        <v>0</v>
      </c>
      <c r="K25" s="414">
        <f t="shared" si="5"/>
        <v>73675</v>
      </c>
      <c r="L25" s="415"/>
      <c r="M25" s="421"/>
      <c r="N25" s="422">
        <v>20000</v>
      </c>
      <c r="O25" s="386">
        <v>24450</v>
      </c>
      <c r="P25" s="386">
        <v>23000</v>
      </c>
      <c r="Q25" s="422">
        <v>27000</v>
      </c>
      <c r="R25" s="386">
        <v>28900</v>
      </c>
      <c r="S25" s="423">
        <v>24000</v>
      </c>
    </row>
    <row r="26" spans="1:19" s="382" customFormat="1" ht="24.6" customHeight="1">
      <c r="A26" s="385">
        <v>17</v>
      </c>
      <c r="B26" s="391" t="s">
        <v>219</v>
      </c>
      <c r="C26" s="391"/>
      <c r="D26" s="391"/>
      <c r="E26" s="390">
        <v>2</v>
      </c>
      <c r="F26" s="385" t="s">
        <v>76</v>
      </c>
      <c r="G26" s="390">
        <f t="shared" si="0"/>
        <v>13890</v>
      </c>
      <c r="H26" s="413">
        <f t="shared" si="1"/>
        <v>27780</v>
      </c>
      <c r="I26" s="390"/>
      <c r="J26" s="413">
        <f t="shared" si="4"/>
        <v>0</v>
      </c>
      <c r="K26" s="414">
        <f t="shared" si="5"/>
        <v>27780</v>
      </c>
      <c r="L26" s="415"/>
      <c r="M26" s="421"/>
      <c r="N26" s="422">
        <v>16000</v>
      </c>
      <c r="O26" s="386">
        <v>13340</v>
      </c>
      <c r="P26" s="386">
        <v>15000</v>
      </c>
      <c r="Q26" s="422">
        <v>14000</v>
      </c>
      <c r="R26" s="386">
        <v>15000</v>
      </c>
      <c r="S26" s="423">
        <v>10000</v>
      </c>
    </row>
    <row r="27" spans="1:19" s="382" customFormat="1" ht="24.6" customHeight="1">
      <c r="A27" s="385">
        <v>18</v>
      </c>
      <c r="B27" s="391" t="s">
        <v>73</v>
      </c>
      <c r="C27" s="391"/>
      <c r="D27" s="391"/>
      <c r="E27" s="390">
        <v>4</v>
      </c>
      <c r="F27" s="385" t="s">
        <v>50</v>
      </c>
      <c r="G27" s="390">
        <f t="shared" si="0"/>
        <v>9441.6666666666661</v>
      </c>
      <c r="H27" s="413">
        <f t="shared" si="1"/>
        <v>37766.666666666664</v>
      </c>
      <c r="I27" s="390"/>
      <c r="J27" s="413">
        <f t="shared" si="4"/>
        <v>0</v>
      </c>
      <c r="K27" s="414">
        <f>SUM(,H27,J27)</f>
        <v>37766.666666666664</v>
      </c>
      <c r="L27" s="415"/>
      <c r="M27" s="421"/>
      <c r="N27" s="422">
        <v>8000</v>
      </c>
      <c r="O27" s="386">
        <v>9450</v>
      </c>
      <c r="P27" s="386">
        <v>10000</v>
      </c>
      <c r="Q27" s="422">
        <v>10000</v>
      </c>
      <c r="R27" s="386">
        <v>10700</v>
      </c>
      <c r="S27" s="423">
        <v>8500</v>
      </c>
    </row>
    <row r="28" spans="1:19" s="382" customFormat="1" ht="24.6" customHeight="1">
      <c r="A28" s="385">
        <v>19</v>
      </c>
      <c r="B28" s="391" t="s">
        <v>63</v>
      </c>
      <c r="C28" s="391"/>
      <c r="D28" s="391"/>
      <c r="E28" s="390">
        <v>1</v>
      </c>
      <c r="F28" s="385" t="s">
        <v>52</v>
      </c>
      <c r="G28" s="390">
        <f t="shared" si="0"/>
        <v>22511.666666666668</v>
      </c>
      <c r="H28" s="413">
        <f t="shared" si="1"/>
        <v>22511.666666666668</v>
      </c>
      <c r="I28" s="390"/>
      <c r="J28" s="413">
        <f t="shared" si="4"/>
        <v>0</v>
      </c>
      <c r="K28" s="414">
        <f t="shared" si="5"/>
        <v>22511.666666666668</v>
      </c>
      <c r="L28" s="415"/>
      <c r="M28" s="421"/>
      <c r="N28" s="422">
        <v>19000</v>
      </c>
      <c r="O28" s="386">
        <v>17780</v>
      </c>
      <c r="P28" s="386">
        <v>28000</v>
      </c>
      <c r="Q28" s="422">
        <v>27000</v>
      </c>
      <c r="R28" s="386">
        <v>28290</v>
      </c>
      <c r="S28" s="423">
        <v>15000</v>
      </c>
    </row>
    <row r="29" spans="1:19" s="382" customFormat="1" ht="24.6" customHeight="1">
      <c r="A29" s="385">
        <v>20</v>
      </c>
      <c r="B29" s="391" t="s">
        <v>74</v>
      </c>
      <c r="C29" s="391"/>
      <c r="D29" s="391"/>
      <c r="E29" s="390">
        <v>1</v>
      </c>
      <c r="F29" s="385" t="s">
        <v>52</v>
      </c>
      <c r="G29" s="390">
        <f>AVERAGE(N29:R29)</f>
        <v>133188</v>
      </c>
      <c r="H29" s="413">
        <f t="shared" si="1"/>
        <v>133188</v>
      </c>
      <c r="I29" s="390"/>
      <c r="J29" s="413">
        <f t="shared" si="4"/>
        <v>0</v>
      </c>
      <c r="K29" s="414">
        <f t="shared" si="5"/>
        <v>133188</v>
      </c>
      <c r="L29" s="415"/>
      <c r="M29" s="421"/>
      <c r="N29" s="422">
        <v>99000</v>
      </c>
      <c r="O29" s="386">
        <v>133340</v>
      </c>
      <c r="P29" s="386">
        <v>90000</v>
      </c>
      <c r="Q29" s="422">
        <v>166000</v>
      </c>
      <c r="R29" s="386">
        <v>177600</v>
      </c>
      <c r="S29" s="527">
        <v>10000</v>
      </c>
    </row>
    <row r="30" spans="1:19" s="382" customFormat="1" ht="24.6" customHeight="1">
      <c r="A30" s="385">
        <v>21</v>
      </c>
      <c r="B30" s="714" t="s">
        <v>220</v>
      </c>
      <c r="C30" s="714"/>
      <c r="D30" s="714"/>
      <c r="E30" s="390">
        <v>1</v>
      </c>
      <c r="F30" s="385" t="s">
        <v>52</v>
      </c>
      <c r="G30" s="390">
        <f>AVERAGE(N30:S30)</f>
        <v>130723.33333333333</v>
      </c>
      <c r="H30" s="413">
        <f t="shared" si="1"/>
        <v>130723.33333333333</v>
      </c>
      <c r="I30" s="390"/>
      <c r="J30" s="413">
        <f t="shared" si="4"/>
        <v>0</v>
      </c>
      <c r="K30" s="414">
        <f t="shared" si="5"/>
        <v>130723.33333333333</v>
      </c>
      <c r="L30" s="415"/>
      <c r="M30" s="421"/>
      <c r="N30" s="422">
        <v>175000</v>
      </c>
      <c r="O30" s="386">
        <v>133340</v>
      </c>
      <c r="P30" s="386">
        <v>180000</v>
      </c>
      <c r="Q30" s="422">
        <v>85000</v>
      </c>
      <c r="R30" s="386">
        <v>91000</v>
      </c>
      <c r="S30" s="423">
        <v>120000</v>
      </c>
    </row>
    <row r="31" spans="1:19" s="382" customFormat="1" ht="24.6" customHeight="1">
      <c r="A31" s="737" t="s">
        <v>207</v>
      </c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400"/>
      <c r="N31" s="408" t="s">
        <v>133</v>
      </c>
      <c r="O31" s="470" t="s">
        <v>134</v>
      </c>
      <c r="P31" s="470" t="s">
        <v>135</v>
      </c>
      <c r="Q31" s="470" t="s">
        <v>147</v>
      </c>
      <c r="R31" s="470" t="s">
        <v>148</v>
      </c>
      <c r="S31" s="423"/>
    </row>
    <row r="32" spans="1:19" ht="24.6" customHeight="1">
      <c r="A32" s="410">
        <v>22</v>
      </c>
      <c r="B32" s="411" t="s">
        <v>221</v>
      </c>
      <c r="C32" s="411"/>
      <c r="D32" s="411"/>
      <c r="E32" s="412">
        <v>7</v>
      </c>
      <c r="F32" s="410" t="s">
        <v>50</v>
      </c>
      <c r="G32" s="390">
        <f>AVERAGE(N32:P32)</f>
        <v>8963.3333333333339</v>
      </c>
      <c r="H32" s="414">
        <f>AVERAGE(P32:R32)</f>
        <v>9863.3333333333339</v>
      </c>
      <c r="I32" s="413"/>
      <c r="J32" s="414">
        <f t="shared" ref="J32" si="6">SUM(I32)*$E32</f>
        <v>0</v>
      </c>
      <c r="K32" s="414">
        <f t="shared" ref="K32" si="7">SUM(,H32,J32)</f>
        <v>9863.3333333333339</v>
      </c>
      <c r="L32" s="424"/>
      <c r="M32" s="418"/>
      <c r="N32" s="468">
        <v>8000</v>
      </c>
      <c r="O32" s="468">
        <v>10000</v>
      </c>
      <c r="P32" s="468">
        <v>8890</v>
      </c>
      <c r="Q32" s="468">
        <v>10000</v>
      </c>
      <c r="R32" s="468">
        <v>10700</v>
      </c>
      <c r="S32" s="518">
        <v>11984</v>
      </c>
    </row>
    <row r="33" spans="1:20" s="382" customFormat="1" ht="24.6" customHeight="1">
      <c r="A33" s="737" t="s">
        <v>91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400"/>
      <c r="N33" s="408" t="s">
        <v>133</v>
      </c>
      <c r="O33" s="470" t="s">
        <v>134</v>
      </c>
      <c r="P33" s="470" t="s">
        <v>135</v>
      </c>
      <c r="Q33" s="470" t="s">
        <v>147</v>
      </c>
      <c r="R33" s="470" t="s">
        <v>148</v>
      </c>
      <c r="S33" s="526"/>
      <c r="T33" s="381"/>
    </row>
    <row r="34" spans="1:20" s="382" customFormat="1" ht="24.6" customHeight="1">
      <c r="A34" s="410">
        <v>23</v>
      </c>
      <c r="B34" s="411" t="s">
        <v>78</v>
      </c>
      <c r="C34" s="411"/>
      <c r="D34" s="411"/>
      <c r="E34" s="425">
        <v>1</v>
      </c>
      <c r="F34" s="420" t="s">
        <v>50</v>
      </c>
      <c r="G34" s="390">
        <f>AVERAGE(N34,P34)</f>
        <v>88775</v>
      </c>
      <c r="H34" s="427">
        <f t="shared" ref="H34:H40" si="8">SUM(G34)*$E34</f>
        <v>88775</v>
      </c>
      <c r="I34" s="426"/>
      <c r="J34" s="428">
        <f t="shared" ref="J34:J40" si="9">SUM(I34)*$E34</f>
        <v>0</v>
      </c>
      <c r="K34" s="428">
        <f t="shared" ref="K34:K40" si="10">SUM(,H34,J34)</f>
        <v>88775</v>
      </c>
      <c r="L34" s="429"/>
      <c r="M34" s="430"/>
      <c r="N34" s="432">
        <v>108100</v>
      </c>
      <c r="O34" s="471">
        <v>130000</v>
      </c>
      <c r="P34" s="471">
        <v>69450</v>
      </c>
      <c r="Q34" s="471">
        <v>142000</v>
      </c>
      <c r="R34" s="471">
        <v>151900</v>
      </c>
      <c r="S34" s="423">
        <v>128400</v>
      </c>
      <c r="T34" s="383"/>
    </row>
    <row r="35" spans="1:20" s="382" customFormat="1" ht="24.6" customHeight="1">
      <c r="A35" s="410">
        <v>24</v>
      </c>
      <c r="B35" s="411" t="s">
        <v>213</v>
      </c>
      <c r="C35" s="411"/>
      <c r="D35" s="411"/>
      <c r="E35" s="425">
        <v>2</v>
      </c>
      <c r="F35" s="420" t="s">
        <v>52</v>
      </c>
      <c r="G35" s="390">
        <f>AVERAGE(P35,S35)</f>
        <v>303220</v>
      </c>
      <c r="H35" s="427">
        <f t="shared" si="8"/>
        <v>606440</v>
      </c>
      <c r="I35" s="426"/>
      <c r="J35" s="428">
        <f t="shared" si="9"/>
        <v>0</v>
      </c>
      <c r="K35" s="428">
        <f t="shared" si="10"/>
        <v>606440</v>
      </c>
      <c r="L35" s="429"/>
      <c r="M35" s="430"/>
      <c r="N35" s="432">
        <v>555000</v>
      </c>
      <c r="O35" s="471">
        <v>390000</v>
      </c>
      <c r="P35" s="471">
        <v>311120</v>
      </c>
      <c r="Q35" s="471">
        <v>390000</v>
      </c>
      <c r="R35" s="471">
        <v>417300</v>
      </c>
      <c r="S35" s="423">
        <v>295320</v>
      </c>
      <c r="T35" s="383"/>
    </row>
    <row r="36" spans="1:20" s="382" customFormat="1" ht="24.6" customHeight="1">
      <c r="A36" s="410">
        <v>25</v>
      </c>
      <c r="B36" s="384" t="s">
        <v>222</v>
      </c>
      <c r="C36" s="384"/>
      <c r="D36" s="384"/>
      <c r="E36" s="390">
        <v>1</v>
      </c>
      <c r="F36" s="420" t="s">
        <v>50</v>
      </c>
      <c r="G36" s="390">
        <f>AVERAGE(N36:P36)</f>
        <v>29630</v>
      </c>
      <c r="H36" s="427">
        <f t="shared" si="8"/>
        <v>29630</v>
      </c>
      <c r="I36" s="390"/>
      <c r="J36" s="428">
        <f t="shared" si="9"/>
        <v>0</v>
      </c>
      <c r="K36" s="428">
        <f t="shared" si="10"/>
        <v>29630</v>
      </c>
      <c r="L36" s="385"/>
      <c r="M36" s="383"/>
      <c r="N36" s="434">
        <v>27000</v>
      </c>
      <c r="O36" s="368">
        <v>33000</v>
      </c>
      <c r="P36" s="368">
        <v>28890</v>
      </c>
      <c r="Q36" s="368">
        <v>48500</v>
      </c>
      <c r="R36" s="368">
        <v>51900</v>
      </c>
      <c r="S36" s="423">
        <v>74900</v>
      </c>
      <c r="T36" s="383"/>
    </row>
    <row r="37" spans="1:20" s="382" customFormat="1" ht="24.6" customHeight="1">
      <c r="A37" s="410">
        <v>26</v>
      </c>
      <c r="B37" s="384" t="s">
        <v>223</v>
      </c>
      <c r="C37" s="384"/>
      <c r="D37" s="384"/>
      <c r="E37" s="390">
        <v>1</v>
      </c>
      <c r="F37" s="385" t="s">
        <v>52</v>
      </c>
      <c r="G37" s="390">
        <f>AVERAGE(N37,P37,S37)</f>
        <v>18394.666666666668</v>
      </c>
      <c r="H37" s="427">
        <f t="shared" si="8"/>
        <v>18394.666666666668</v>
      </c>
      <c r="I37" s="390"/>
      <c r="J37" s="428">
        <f t="shared" si="9"/>
        <v>0</v>
      </c>
      <c r="K37" s="428">
        <f t="shared" si="10"/>
        <v>18394.666666666668</v>
      </c>
      <c r="L37" s="385"/>
      <c r="M37" s="383"/>
      <c r="N37" s="434">
        <v>19000</v>
      </c>
      <c r="O37" s="368">
        <v>22000</v>
      </c>
      <c r="P37" s="368">
        <v>17780</v>
      </c>
      <c r="Q37" s="368">
        <v>22000</v>
      </c>
      <c r="R37" s="368">
        <v>23500</v>
      </c>
      <c r="S37" s="423">
        <v>18404</v>
      </c>
      <c r="T37" s="383"/>
    </row>
    <row r="38" spans="1:20" s="382" customFormat="1" ht="24.6" customHeight="1">
      <c r="A38" s="410">
        <v>27</v>
      </c>
      <c r="B38" s="384" t="s">
        <v>68</v>
      </c>
      <c r="C38" s="433"/>
      <c r="D38" s="433"/>
      <c r="E38" s="390">
        <v>1</v>
      </c>
      <c r="F38" s="385" t="s">
        <v>52</v>
      </c>
      <c r="G38" s="390">
        <f>AVERAGE(N38,O38,S38)</f>
        <v>11422.666666666666</v>
      </c>
      <c r="H38" s="427">
        <f t="shared" si="8"/>
        <v>11422.666666666666</v>
      </c>
      <c r="I38" s="390"/>
      <c r="J38" s="428">
        <f t="shared" si="9"/>
        <v>0</v>
      </c>
      <c r="K38" s="428">
        <f t="shared" si="10"/>
        <v>11422.666666666666</v>
      </c>
      <c r="L38" s="385"/>
      <c r="M38" s="383"/>
      <c r="N38" s="434">
        <v>8000</v>
      </c>
      <c r="O38" s="368">
        <v>13000</v>
      </c>
      <c r="P38" s="368">
        <v>13340</v>
      </c>
      <c r="Q38" s="368">
        <v>14000</v>
      </c>
      <c r="R38" s="368">
        <v>10500</v>
      </c>
      <c r="S38" s="423">
        <v>13268</v>
      </c>
      <c r="T38" s="383"/>
    </row>
    <row r="39" spans="1:20" s="382" customFormat="1" ht="24.6" customHeight="1">
      <c r="A39" s="410">
        <v>28</v>
      </c>
      <c r="B39" s="714" t="s">
        <v>224</v>
      </c>
      <c r="C39" s="714"/>
      <c r="D39" s="714"/>
      <c r="E39" s="390">
        <v>1</v>
      </c>
      <c r="F39" s="385" t="s">
        <v>50</v>
      </c>
      <c r="G39" s="390">
        <f>AVERAGE(O39:P39,S39)</f>
        <v>32190</v>
      </c>
      <c r="H39" s="427">
        <f t="shared" si="8"/>
        <v>32190</v>
      </c>
      <c r="I39" s="390"/>
      <c r="J39" s="428">
        <f t="shared" si="9"/>
        <v>0</v>
      </c>
      <c r="K39" s="428">
        <f t="shared" si="10"/>
        <v>32190</v>
      </c>
      <c r="L39" s="385"/>
      <c r="M39" s="383"/>
      <c r="N39" s="434">
        <v>45000</v>
      </c>
      <c r="O39" s="368">
        <v>32000</v>
      </c>
      <c r="P39" s="368">
        <v>38890</v>
      </c>
      <c r="Q39" s="368">
        <v>50000</v>
      </c>
      <c r="R39" s="368">
        <v>53500</v>
      </c>
      <c r="S39" s="423">
        <v>25680</v>
      </c>
      <c r="T39" s="383"/>
    </row>
    <row r="40" spans="1:20" s="382" customFormat="1" ht="24.6" customHeight="1">
      <c r="A40" s="410">
        <v>29</v>
      </c>
      <c r="B40" s="714" t="s">
        <v>53</v>
      </c>
      <c r="C40" s="714"/>
      <c r="D40" s="714"/>
      <c r="E40" s="390">
        <v>1</v>
      </c>
      <c r="F40" s="385" t="s">
        <v>51</v>
      </c>
      <c r="G40" s="390">
        <f>AVERAGE(N40:P40)</f>
        <v>3926.6666666666665</v>
      </c>
      <c r="H40" s="427">
        <f t="shared" si="8"/>
        <v>3926.6666666666665</v>
      </c>
      <c r="I40" s="390"/>
      <c r="J40" s="428">
        <f t="shared" si="9"/>
        <v>0</v>
      </c>
      <c r="K40" s="428">
        <f t="shared" si="10"/>
        <v>3926.6666666666665</v>
      </c>
      <c r="L40" s="385"/>
      <c r="M40" s="383"/>
      <c r="N40" s="434">
        <v>5000</v>
      </c>
      <c r="O40" s="368">
        <v>4000</v>
      </c>
      <c r="P40" s="368">
        <v>2780</v>
      </c>
      <c r="Q40" s="368">
        <v>7000</v>
      </c>
      <c r="R40" s="368">
        <v>7500</v>
      </c>
      <c r="S40" s="423">
        <v>5000</v>
      </c>
      <c r="T40" s="383"/>
    </row>
    <row r="41" spans="1:20" ht="24.6" customHeight="1">
      <c r="A41" s="737" t="s">
        <v>105</v>
      </c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400"/>
      <c r="N41" s="408" t="s">
        <v>133</v>
      </c>
      <c r="O41" s="470" t="s">
        <v>134</v>
      </c>
      <c r="P41" s="470" t="s">
        <v>135</v>
      </c>
      <c r="Q41" s="470" t="s">
        <v>147</v>
      </c>
      <c r="R41" s="470" t="s">
        <v>148</v>
      </c>
      <c r="S41" s="524"/>
    </row>
    <row r="42" spans="1:20" ht="24.6" customHeight="1">
      <c r="A42" s="410">
        <v>30</v>
      </c>
      <c r="B42" s="411" t="s">
        <v>82</v>
      </c>
      <c r="C42" s="411"/>
      <c r="D42" s="411"/>
      <c r="E42" s="412">
        <v>1</v>
      </c>
      <c r="F42" s="410" t="s">
        <v>50</v>
      </c>
      <c r="G42" s="390">
        <f>AVERAGE(N42,P42,S42)</f>
        <v>96896.666666666672</v>
      </c>
      <c r="H42" s="413">
        <f t="shared" ref="H42:H48" si="11">SUM(G42)*$E42</f>
        <v>96896.666666666672</v>
      </c>
      <c r="I42" s="390"/>
      <c r="J42" s="414">
        <f t="shared" ref="J42:J48" si="12">SUM(I42)*$E42</f>
        <v>0</v>
      </c>
      <c r="K42" s="414">
        <f t="shared" ref="K42:K48" si="13">SUM(,H42,J42)</f>
        <v>96896.666666666672</v>
      </c>
      <c r="L42" s="429"/>
      <c r="M42" s="430"/>
      <c r="N42" s="435">
        <v>130000</v>
      </c>
      <c r="O42" s="468">
        <v>140000</v>
      </c>
      <c r="P42" s="471">
        <v>48340</v>
      </c>
      <c r="Q42" s="468">
        <v>150000</v>
      </c>
      <c r="R42" s="431">
        <v>160500</v>
      </c>
      <c r="S42" s="515">
        <v>112350</v>
      </c>
    </row>
    <row r="43" spans="1:20" ht="24.6" customHeight="1">
      <c r="A43" s="410">
        <v>31</v>
      </c>
      <c r="B43" s="411" t="s">
        <v>225</v>
      </c>
      <c r="C43" s="411"/>
      <c r="D43" s="411"/>
      <c r="E43" s="412">
        <v>1</v>
      </c>
      <c r="F43" s="410" t="s">
        <v>50</v>
      </c>
      <c r="G43" s="390">
        <f>AVERAGE(O43:P43,S43)</f>
        <v>255406.66666666666</v>
      </c>
      <c r="H43" s="413">
        <f t="shared" si="11"/>
        <v>255406.66666666666</v>
      </c>
      <c r="I43" s="390"/>
      <c r="J43" s="414">
        <f t="shared" si="12"/>
        <v>0</v>
      </c>
      <c r="K43" s="414">
        <f t="shared" si="13"/>
        <v>255406.66666666666</v>
      </c>
      <c r="L43" s="429"/>
      <c r="M43" s="430"/>
      <c r="N43" s="435">
        <v>310000</v>
      </c>
      <c r="O43" s="468">
        <v>303000</v>
      </c>
      <c r="P43" s="471">
        <v>200000</v>
      </c>
      <c r="Q43" s="468">
        <v>357000</v>
      </c>
      <c r="R43" s="431">
        <v>382000</v>
      </c>
      <c r="S43" s="515">
        <v>263220</v>
      </c>
    </row>
    <row r="44" spans="1:20" ht="24.6" customHeight="1">
      <c r="A44" s="410">
        <v>32</v>
      </c>
      <c r="B44" s="384" t="s">
        <v>92</v>
      </c>
      <c r="C44" s="384"/>
      <c r="D44" s="384"/>
      <c r="E44" s="390">
        <v>1</v>
      </c>
      <c r="F44" s="410" t="s">
        <v>50</v>
      </c>
      <c r="G44" s="390">
        <f>AVERAGE(N44:P44)</f>
        <v>19593.333333333332</v>
      </c>
      <c r="H44" s="413">
        <f t="shared" si="11"/>
        <v>19593.333333333332</v>
      </c>
      <c r="I44" s="390"/>
      <c r="J44" s="414">
        <f t="shared" si="12"/>
        <v>0</v>
      </c>
      <c r="K44" s="414">
        <f t="shared" si="13"/>
        <v>19593.333333333332</v>
      </c>
      <c r="L44" s="385"/>
      <c r="N44" s="434">
        <v>19000</v>
      </c>
      <c r="O44" s="368">
        <v>22000</v>
      </c>
      <c r="P44" s="368">
        <v>17780</v>
      </c>
      <c r="Q44" s="369">
        <v>36400</v>
      </c>
      <c r="R44" s="362">
        <v>38900</v>
      </c>
      <c r="S44" s="518">
        <v>29960</v>
      </c>
    </row>
    <row r="45" spans="1:20" ht="24.6" customHeight="1">
      <c r="A45" s="410">
        <v>33</v>
      </c>
      <c r="B45" s="384" t="s">
        <v>226</v>
      </c>
      <c r="C45" s="384"/>
      <c r="D45" s="384"/>
      <c r="E45" s="390">
        <v>6</v>
      </c>
      <c r="F45" s="385" t="s">
        <v>52</v>
      </c>
      <c r="G45" s="390">
        <f>AVERAGE(N45,P45,S45)</f>
        <v>13520</v>
      </c>
      <c r="H45" s="413">
        <f t="shared" si="11"/>
        <v>81120</v>
      </c>
      <c r="I45" s="390"/>
      <c r="J45" s="414">
        <f t="shared" si="12"/>
        <v>0</v>
      </c>
      <c r="K45" s="414">
        <f t="shared" si="13"/>
        <v>81120</v>
      </c>
      <c r="L45" s="385"/>
      <c r="N45" s="434">
        <v>12000</v>
      </c>
      <c r="O45" s="368">
        <v>23000</v>
      </c>
      <c r="P45" s="368">
        <v>15560</v>
      </c>
      <c r="Q45" s="369">
        <v>16000</v>
      </c>
      <c r="R45" s="362">
        <v>17100</v>
      </c>
      <c r="S45" s="518">
        <v>13000</v>
      </c>
    </row>
    <row r="46" spans="1:20" ht="24.6" customHeight="1">
      <c r="A46" s="410">
        <v>34</v>
      </c>
      <c r="B46" s="384" t="s">
        <v>227</v>
      </c>
      <c r="C46" s="433"/>
      <c r="D46" s="433"/>
      <c r="E46" s="390">
        <v>1</v>
      </c>
      <c r="F46" s="385" t="s">
        <v>52</v>
      </c>
      <c r="G46" s="390">
        <f>AVERAGE(O46:P46,S46)</f>
        <v>369553.33333333331</v>
      </c>
      <c r="H46" s="413">
        <f t="shared" si="11"/>
        <v>369553.33333333331</v>
      </c>
      <c r="I46" s="390"/>
      <c r="J46" s="414">
        <f t="shared" si="12"/>
        <v>0</v>
      </c>
      <c r="K46" s="414">
        <f t="shared" si="13"/>
        <v>369553.33333333331</v>
      </c>
      <c r="L46" s="385"/>
      <c r="N46" s="434">
        <v>540000</v>
      </c>
      <c r="O46" s="368">
        <v>380000</v>
      </c>
      <c r="P46" s="368">
        <v>433340</v>
      </c>
      <c r="Q46" s="369">
        <v>480000</v>
      </c>
      <c r="R46" s="362">
        <v>513600</v>
      </c>
      <c r="S46" s="518">
        <v>295320</v>
      </c>
    </row>
    <row r="47" spans="1:20" ht="24.6" customHeight="1">
      <c r="A47" s="410">
        <v>35</v>
      </c>
      <c r="B47" s="714" t="s">
        <v>53</v>
      </c>
      <c r="C47" s="714"/>
      <c r="D47" s="714"/>
      <c r="E47" s="390">
        <v>6</v>
      </c>
      <c r="F47" s="385" t="s">
        <v>51</v>
      </c>
      <c r="G47" s="390">
        <f>AVERAGE(N47:P47)</f>
        <v>4666.666666666667</v>
      </c>
      <c r="H47" s="413">
        <f t="shared" si="11"/>
        <v>28000</v>
      </c>
      <c r="I47" s="390"/>
      <c r="J47" s="414">
        <f t="shared" si="12"/>
        <v>0</v>
      </c>
      <c r="K47" s="414">
        <f t="shared" si="13"/>
        <v>28000</v>
      </c>
      <c r="L47" s="385"/>
      <c r="N47" s="472">
        <v>5000</v>
      </c>
      <c r="O47" s="368">
        <v>4000</v>
      </c>
      <c r="P47" s="368">
        <v>5000</v>
      </c>
      <c r="Q47" s="369">
        <v>7000</v>
      </c>
      <c r="R47" s="362">
        <v>7500</v>
      </c>
      <c r="S47" s="518">
        <v>5000</v>
      </c>
    </row>
    <row r="48" spans="1:20" ht="24.6" customHeight="1">
      <c r="A48" s="410">
        <v>36</v>
      </c>
      <c r="B48" s="714" t="s">
        <v>59</v>
      </c>
      <c r="C48" s="714"/>
      <c r="D48" s="714"/>
      <c r="E48" s="390">
        <v>1</v>
      </c>
      <c r="F48" s="385" t="s">
        <v>51</v>
      </c>
      <c r="G48" s="390">
        <f>AVERAGE(N48:P48)</f>
        <v>4963.333333333333</v>
      </c>
      <c r="H48" s="413">
        <f t="shared" si="11"/>
        <v>4963.333333333333</v>
      </c>
      <c r="I48" s="390"/>
      <c r="J48" s="414">
        <f t="shared" si="12"/>
        <v>0</v>
      </c>
      <c r="K48" s="414">
        <f t="shared" si="13"/>
        <v>4963.333333333333</v>
      </c>
      <c r="L48" s="385"/>
      <c r="N48" s="434">
        <v>5000</v>
      </c>
      <c r="O48" s="368">
        <v>6000</v>
      </c>
      <c r="P48" s="368">
        <v>3890</v>
      </c>
      <c r="Q48" s="369">
        <v>7400</v>
      </c>
      <c r="R48" s="362">
        <v>7900</v>
      </c>
      <c r="S48" s="518">
        <v>7490</v>
      </c>
    </row>
    <row r="49" spans="1:37" ht="24.6" customHeight="1">
      <c r="A49" s="737" t="s">
        <v>104</v>
      </c>
      <c r="B49" s="737"/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400"/>
      <c r="N49" s="408" t="s">
        <v>133</v>
      </c>
      <c r="O49" s="470" t="s">
        <v>134</v>
      </c>
      <c r="P49" s="470" t="s">
        <v>135</v>
      </c>
      <c r="Q49" s="470" t="s">
        <v>147</v>
      </c>
      <c r="R49" s="470" t="s">
        <v>148</v>
      </c>
      <c r="S49" s="524"/>
    </row>
    <row r="50" spans="1:37" s="382" customFormat="1" ht="24.6" customHeight="1">
      <c r="A50" s="410">
        <v>37</v>
      </c>
      <c r="B50" s="411" t="s">
        <v>228</v>
      </c>
      <c r="C50" s="411"/>
      <c r="D50" s="411"/>
      <c r="E50" s="412">
        <v>1</v>
      </c>
      <c r="F50" s="410" t="s">
        <v>52</v>
      </c>
      <c r="G50" s="390">
        <f>AVERAGE(N50,P50,S50)</f>
        <v>18323.333333333332</v>
      </c>
      <c r="H50" s="413">
        <f t="shared" ref="H50:H52" si="14">SUM(G50)*$E50</f>
        <v>18323.333333333332</v>
      </c>
      <c r="I50" s="390"/>
      <c r="J50" s="414">
        <f t="shared" ref="J50:J52" si="15">SUM(I50)*$E50</f>
        <v>0</v>
      </c>
      <c r="K50" s="414">
        <f t="shared" ref="K50:K52" si="16">SUM(,H50,J50)</f>
        <v>18323.333333333332</v>
      </c>
      <c r="L50" s="385"/>
      <c r="M50" s="418"/>
      <c r="N50" s="435">
        <v>19000</v>
      </c>
      <c r="O50" s="435">
        <v>22000</v>
      </c>
      <c r="P50" s="468">
        <v>17780</v>
      </c>
      <c r="Q50" s="435">
        <v>22000</v>
      </c>
      <c r="R50" s="468">
        <v>23500</v>
      </c>
      <c r="S50" s="518">
        <v>18190</v>
      </c>
      <c r="T50" s="383"/>
    </row>
    <row r="51" spans="1:37" ht="24.6" customHeight="1">
      <c r="A51" s="410">
        <v>38</v>
      </c>
      <c r="B51" s="411" t="s">
        <v>229</v>
      </c>
      <c r="C51" s="411"/>
      <c r="D51" s="411"/>
      <c r="E51" s="412">
        <v>1</v>
      </c>
      <c r="F51" s="410" t="s">
        <v>52</v>
      </c>
      <c r="G51" s="390">
        <f>AVERAGE(N51:P51)</f>
        <v>22000</v>
      </c>
      <c r="H51" s="413">
        <f t="shared" si="14"/>
        <v>22000</v>
      </c>
      <c r="I51" s="390"/>
      <c r="J51" s="414">
        <f t="shared" si="15"/>
        <v>0</v>
      </c>
      <c r="K51" s="414">
        <f t="shared" si="16"/>
        <v>22000</v>
      </c>
      <c r="L51" s="385"/>
      <c r="M51" s="418"/>
      <c r="N51" s="435">
        <v>21000</v>
      </c>
      <c r="O51" s="435">
        <v>25000</v>
      </c>
      <c r="P51" s="468">
        <v>20000</v>
      </c>
      <c r="Q51" s="435">
        <v>27000</v>
      </c>
      <c r="R51" s="468">
        <v>28900</v>
      </c>
      <c r="S51" s="518">
        <v>29425</v>
      </c>
    </row>
    <row r="52" spans="1:37" ht="24.6" customHeight="1">
      <c r="A52" s="385">
        <v>39</v>
      </c>
      <c r="B52" s="384" t="s">
        <v>68</v>
      </c>
      <c r="C52" s="384"/>
      <c r="D52" s="384"/>
      <c r="E52" s="390">
        <v>1</v>
      </c>
      <c r="F52" s="410" t="s">
        <v>52</v>
      </c>
      <c r="G52" s="390">
        <f>AVERAGE(N52,O52,S52)</f>
        <v>11422.666666666666</v>
      </c>
      <c r="H52" s="413">
        <f t="shared" si="14"/>
        <v>11422.666666666666</v>
      </c>
      <c r="I52" s="390"/>
      <c r="J52" s="414">
        <f t="shared" si="15"/>
        <v>0</v>
      </c>
      <c r="K52" s="414">
        <f t="shared" si="16"/>
        <v>11422.666666666666</v>
      </c>
      <c r="L52" s="385"/>
      <c r="N52" s="434">
        <v>8000</v>
      </c>
      <c r="O52" s="434">
        <v>13000</v>
      </c>
      <c r="P52" s="369">
        <v>13340</v>
      </c>
      <c r="Q52" s="434">
        <v>14000</v>
      </c>
      <c r="R52" s="368">
        <v>15000</v>
      </c>
      <c r="S52" s="518">
        <v>13268</v>
      </c>
    </row>
    <row r="53" spans="1:37" ht="24.6" customHeight="1">
      <c r="A53" s="335">
        <v>2.2000000000000002</v>
      </c>
      <c r="B53" s="670" t="s">
        <v>194</v>
      </c>
      <c r="C53" s="670"/>
      <c r="D53" s="670"/>
      <c r="E53" s="433"/>
      <c r="F53" s="433"/>
      <c r="G53" s="390"/>
      <c r="H53" s="433"/>
      <c r="I53" s="433"/>
      <c r="J53" s="433"/>
      <c r="K53" s="449">
        <f>SUM(K10:K30,K32,K34:K40,K42:K48,K50:K52)</f>
        <v>4752014.3333333312</v>
      </c>
      <c r="L53" s="433"/>
      <c r="N53" s="407" t="s">
        <v>111</v>
      </c>
      <c r="O53" s="407"/>
      <c r="P53" s="407"/>
      <c r="Q53" s="407"/>
      <c r="R53" s="407"/>
      <c r="S53" s="515"/>
      <c r="T53" s="431"/>
      <c r="U53" s="431"/>
      <c r="V53" s="431"/>
    </row>
    <row r="54" spans="1:37" ht="24.6" customHeight="1">
      <c r="A54" s="385">
        <v>1</v>
      </c>
      <c r="B54" s="714" t="s">
        <v>233</v>
      </c>
      <c r="C54" s="714"/>
      <c r="D54" s="714"/>
      <c r="E54" s="390">
        <v>3</v>
      </c>
      <c r="F54" s="385" t="s">
        <v>50</v>
      </c>
      <c r="G54" s="390">
        <f>AVERAGE(N54:P54)</f>
        <v>190407.33333333334</v>
      </c>
      <c r="H54" s="413">
        <f t="shared" ref="H54:H66" si="17">SUM(G54)*$E54</f>
        <v>571222</v>
      </c>
      <c r="I54" s="390" t="s">
        <v>239</v>
      </c>
      <c r="J54" s="390" t="s">
        <v>239</v>
      </c>
      <c r="K54" s="414">
        <f t="shared" ref="K54:K62" si="18">SUM(,H54,J54)</f>
        <v>571222</v>
      </c>
      <c r="L54" s="385"/>
      <c r="M54" s="382"/>
      <c r="N54" s="500">
        <v>189750</v>
      </c>
      <c r="O54" s="500">
        <v>199000</v>
      </c>
      <c r="P54" s="500">
        <v>182472</v>
      </c>
      <c r="Q54" s="497" t="s">
        <v>208</v>
      </c>
      <c r="R54" s="490" t="s">
        <v>209</v>
      </c>
      <c r="S54" s="516" t="s">
        <v>210</v>
      </c>
      <c r="T54" s="362"/>
      <c r="U54" s="384"/>
      <c r="V54" s="384"/>
    </row>
    <row r="55" spans="1:37" ht="24.6" customHeight="1">
      <c r="A55" s="385">
        <v>2</v>
      </c>
      <c r="B55" s="714" t="s">
        <v>232</v>
      </c>
      <c r="C55" s="714"/>
      <c r="D55" s="714"/>
      <c r="E55" s="390">
        <v>2</v>
      </c>
      <c r="F55" s="385" t="s">
        <v>50</v>
      </c>
      <c r="G55" s="390">
        <f>AVERAGE(N55:P55)</f>
        <v>123866.66666666667</v>
      </c>
      <c r="H55" s="413">
        <f t="shared" si="17"/>
        <v>247733.33333333334</v>
      </c>
      <c r="I55" s="390" t="s">
        <v>239</v>
      </c>
      <c r="J55" s="390" t="s">
        <v>239</v>
      </c>
      <c r="K55" s="414">
        <f t="shared" si="18"/>
        <v>247733.33333333334</v>
      </c>
      <c r="L55" s="384"/>
      <c r="N55" s="501">
        <v>117600</v>
      </c>
      <c r="O55" s="501">
        <v>129000</v>
      </c>
      <c r="P55" s="501">
        <v>125000</v>
      </c>
      <c r="Q55" s="497" t="s">
        <v>196</v>
      </c>
      <c r="R55" s="491" t="s">
        <v>197</v>
      </c>
      <c r="S55" s="517" t="s">
        <v>198</v>
      </c>
      <c r="T55" s="492"/>
      <c r="U55" s="362"/>
      <c r="V55" s="362"/>
    </row>
    <row r="56" spans="1:37" ht="24.6" customHeight="1">
      <c r="A56" s="385">
        <v>3</v>
      </c>
      <c r="B56" s="391" t="s">
        <v>195</v>
      </c>
      <c r="C56" s="391"/>
      <c r="D56" s="391"/>
      <c r="E56" s="390">
        <v>1</v>
      </c>
      <c r="F56" s="385" t="s">
        <v>50</v>
      </c>
      <c r="G56" s="390">
        <f>AVERAGE(N56:P56)</f>
        <v>17066.666666666668</v>
      </c>
      <c r="H56" s="413">
        <f t="shared" si="17"/>
        <v>17066.666666666668</v>
      </c>
      <c r="I56" s="390" t="s">
        <v>239</v>
      </c>
      <c r="J56" s="390" t="s">
        <v>239</v>
      </c>
      <c r="K56" s="414">
        <f t="shared" si="18"/>
        <v>17066.666666666668</v>
      </c>
      <c r="L56" s="385"/>
      <c r="M56" s="437"/>
      <c r="N56" s="502">
        <f>(8000)*2</f>
        <v>16000</v>
      </c>
      <c r="O56" s="502">
        <f>8600*2</f>
        <v>17200</v>
      </c>
      <c r="P56" s="502">
        <f>(90*100)*2</f>
        <v>18000</v>
      </c>
      <c r="Q56" s="497" t="s">
        <v>136</v>
      </c>
      <c r="R56" s="384"/>
      <c r="S56" s="423"/>
      <c r="T56" s="423"/>
      <c r="U56" s="384"/>
    </row>
    <row r="57" spans="1:37" ht="24.6" customHeight="1">
      <c r="A57" s="385">
        <v>4</v>
      </c>
      <c r="B57" s="384" t="s">
        <v>231</v>
      </c>
      <c r="C57" s="384"/>
      <c r="D57" s="384"/>
      <c r="E57" s="390">
        <v>1</v>
      </c>
      <c r="F57" s="385" t="s">
        <v>50</v>
      </c>
      <c r="G57" s="390">
        <f>AVERAGE(N57:O57)</f>
        <v>20500</v>
      </c>
      <c r="H57" s="413">
        <f t="shared" si="17"/>
        <v>20500</v>
      </c>
      <c r="I57" s="390" t="s">
        <v>239</v>
      </c>
      <c r="J57" s="390" t="s">
        <v>239</v>
      </c>
      <c r="K57" s="414">
        <f t="shared" si="18"/>
        <v>20500</v>
      </c>
      <c r="L57" s="385"/>
      <c r="M57" s="382"/>
      <c r="N57" s="502">
        <v>19800</v>
      </c>
      <c r="O57" s="502">
        <v>21200</v>
      </c>
      <c r="P57" s="502">
        <f>1860+1980+2352+3120</f>
        <v>9312</v>
      </c>
      <c r="Q57" s="497" t="s">
        <v>136</v>
      </c>
      <c r="R57" s="384"/>
      <c r="S57" s="518"/>
      <c r="T57" s="423"/>
      <c r="U57" s="384"/>
      <c r="V57" s="384"/>
    </row>
    <row r="58" spans="1:37" ht="24" customHeight="1">
      <c r="A58" s="385">
        <v>5</v>
      </c>
      <c r="B58" s="714" t="s">
        <v>230</v>
      </c>
      <c r="C58" s="714"/>
      <c r="D58" s="714"/>
      <c r="E58" s="390">
        <v>1</v>
      </c>
      <c r="F58" s="385" t="s">
        <v>50</v>
      </c>
      <c r="G58" s="390">
        <f>AVERAGE(N58:O58)</f>
        <v>10400</v>
      </c>
      <c r="H58" s="413">
        <f t="shared" si="17"/>
        <v>10400</v>
      </c>
      <c r="I58" s="390" t="s">
        <v>239</v>
      </c>
      <c r="J58" s="390" t="s">
        <v>239</v>
      </c>
      <c r="K58" s="414">
        <f t="shared" si="18"/>
        <v>10400</v>
      </c>
      <c r="L58" s="385"/>
      <c r="M58" s="382"/>
      <c r="N58" s="502">
        <f>5000*2</f>
        <v>10000</v>
      </c>
      <c r="O58" s="502">
        <f>5400*2</f>
        <v>10800</v>
      </c>
      <c r="P58" s="502">
        <f>(240+240+357+636+1623)*2</f>
        <v>6192</v>
      </c>
      <c r="Q58" s="497" t="s">
        <v>136</v>
      </c>
      <c r="R58" s="384"/>
      <c r="S58" s="369"/>
      <c r="T58" s="423"/>
      <c r="U58" s="384"/>
      <c r="V58" s="384"/>
    </row>
    <row r="59" spans="1:37" s="107" customFormat="1" ht="21" customHeight="1">
      <c r="A59" s="385">
        <v>6</v>
      </c>
      <c r="B59" s="391" t="s">
        <v>238</v>
      </c>
      <c r="C59" s="391"/>
      <c r="D59" s="391"/>
      <c r="E59" s="528">
        <v>1</v>
      </c>
      <c r="F59" s="529" t="s">
        <v>50</v>
      </c>
      <c r="G59" s="390">
        <f>AVERAGE(W59,N59,P59)</f>
        <v>38104.666666666664</v>
      </c>
      <c r="H59" s="413">
        <f t="shared" si="17"/>
        <v>38104.666666666664</v>
      </c>
      <c r="I59" s="390" t="s">
        <v>239</v>
      </c>
      <c r="J59" s="390" t="s">
        <v>239</v>
      </c>
      <c r="K59" s="414">
        <f t="shared" si="18"/>
        <v>38104.666666666664</v>
      </c>
      <c r="L59" s="385"/>
      <c r="M59" s="76"/>
      <c r="N59" s="503">
        <v>48800</v>
      </c>
      <c r="O59" s="503">
        <v>51400</v>
      </c>
      <c r="P59" s="272">
        <v>30000</v>
      </c>
      <c r="Q59" s="498" t="s">
        <v>127</v>
      </c>
      <c r="R59" s="176">
        <f>11400+11400</f>
        <v>22800</v>
      </c>
      <c r="S59" s="519" t="s">
        <v>136</v>
      </c>
      <c r="T59" s="137">
        <f>28650*2</f>
        <v>57300</v>
      </c>
      <c r="U59" s="156" t="s">
        <v>146</v>
      </c>
      <c r="V59" s="124"/>
      <c r="W59" s="522">
        <f>17757*2</f>
        <v>35514</v>
      </c>
      <c r="Y59" s="175" t="s">
        <v>127</v>
      </c>
      <c r="AA59" s="156" t="s">
        <v>136</v>
      </c>
      <c r="AB59" s="137">
        <f>28650*2</f>
        <v>57300</v>
      </c>
      <c r="AC59" s="156" t="s">
        <v>146</v>
      </c>
      <c r="AD59" s="124"/>
      <c r="AE59" s="475">
        <f>55100+45800</f>
        <v>100900</v>
      </c>
      <c r="AF59" s="476" t="s">
        <v>240</v>
      </c>
      <c r="AG59" s="477">
        <v>20000</v>
      </c>
      <c r="AH59" s="476" t="s">
        <v>241</v>
      </c>
      <c r="AJ59" s="107">
        <f>32100+32100</f>
        <v>64200</v>
      </c>
      <c r="AK59" s="476" t="s">
        <v>242</v>
      </c>
    </row>
    <row r="60" spans="1:37" s="107" customFormat="1" ht="21" customHeight="1">
      <c r="A60" s="385">
        <v>7</v>
      </c>
      <c r="B60" s="509" t="s">
        <v>115</v>
      </c>
      <c r="C60" s="391"/>
      <c r="D60" s="391"/>
      <c r="E60" s="528">
        <v>2</v>
      </c>
      <c r="F60" s="529" t="s">
        <v>50</v>
      </c>
      <c r="G60" s="390">
        <f>AVERAGE(N60,O60,W60)</f>
        <v>38933.333333333336</v>
      </c>
      <c r="H60" s="413">
        <f t="shared" si="17"/>
        <v>77866.666666666672</v>
      </c>
      <c r="I60" s="390" t="s">
        <v>239</v>
      </c>
      <c r="J60" s="390" t="s">
        <v>239</v>
      </c>
      <c r="K60" s="414">
        <f t="shared" si="18"/>
        <v>77866.666666666672</v>
      </c>
      <c r="L60" s="385"/>
      <c r="M60" s="76"/>
      <c r="N60" s="503">
        <v>40000</v>
      </c>
      <c r="O60" s="503">
        <v>42800</v>
      </c>
      <c r="P60" s="272">
        <v>25000</v>
      </c>
      <c r="Q60" s="498" t="s">
        <v>128</v>
      </c>
      <c r="R60" s="173">
        <f>3300+3300+3300+3300+3300+1300</f>
        <v>17800</v>
      </c>
      <c r="S60" s="519" t="s">
        <v>136</v>
      </c>
      <c r="T60" s="137">
        <f>(7900*3)+(8300*2)+5000</f>
        <v>45300</v>
      </c>
      <c r="U60" s="156" t="s">
        <v>146</v>
      </c>
      <c r="V60" s="124"/>
      <c r="W60" s="522">
        <f>6800*5</f>
        <v>34000</v>
      </c>
      <c r="Y60" s="175" t="s">
        <v>128</v>
      </c>
      <c r="AA60" s="156" t="s">
        <v>136</v>
      </c>
      <c r="AB60" s="137">
        <f>(7900*3)+(8300*2)+5000</f>
        <v>45300</v>
      </c>
      <c r="AC60" s="156" t="s">
        <v>146</v>
      </c>
      <c r="AD60" s="124"/>
      <c r="AE60" s="107">
        <f>10000+10000+10000+14200+7200</f>
        <v>51400</v>
      </c>
      <c r="AF60" s="476" t="s">
        <v>243</v>
      </c>
      <c r="AG60" s="107">
        <f>(3210*5)+1123</f>
        <v>17173</v>
      </c>
      <c r="AH60" s="476" t="s">
        <v>244</v>
      </c>
      <c r="AJ60" s="107">
        <f>13950+12300+12300+12300+13950+5025</f>
        <v>69825</v>
      </c>
      <c r="AK60" s="476" t="s">
        <v>242</v>
      </c>
    </row>
    <row r="61" spans="1:37" s="107" customFormat="1" ht="21" customHeight="1">
      <c r="A61" s="385">
        <v>8</v>
      </c>
      <c r="B61" s="509" t="s">
        <v>120</v>
      </c>
      <c r="C61" s="391"/>
      <c r="D61" s="391"/>
      <c r="E61" s="528">
        <v>3</v>
      </c>
      <c r="F61" s="529" t="s">
        <v>116</v>
      </c>
      <c r="G61" s="390">
        <f>AVERAGE(N61:P61)</f>
        <v>12233.333333333334</v>
      </c>
      <c r="H61" s="413">
        <f t="shared" si="17"/>
        <v>36700</v>
      </c>
      <c r="I61" s="390" t="s">
        <v>239</v>
      </c>
      <c r="J61" s="390" t="s">
        <v>239</v>
      </c>
      <c r="K61" s="414">
        <f t="shared" si="18"/>
        <v>36700</v>
      </c>
      <c r="L61" s="385"/>
      <c r="M61" s="76"/>
      <c r="N61" s="503">
        <v>12900</v>
      </c>
      <c r="O61" s="503">
        <v>13800</v>
      </c>
      <c r="P61" s="272">
        <v>10000</v>
      </c>
      <c r="Q61" s="498" t="s">
        <v>129</v>
      </c>
      <c r="R61" s="124">
        <v>8600</v>
      </c>
      <c r="S61" s="519" t="s">
        <v>136</v>
      </c>
      <c r="T61" s="137">
        <v>13500</v>
      </c>
      <c r="U61" s="156" t="s">
        <v>146</v>
      </c>
      <c r="V61" s="124"/>
      <c r="W61" s="522"/>
      <c r="Y61" s="175" t="s">
        <v>129</v>
      </c>
      <c r="AA61" s="156" t="s">
        <v>136</v>
      </c>
      <c r="AB61" s="137">
        <v>13500</v>
      </c>
      <c r="AC61" s="156" t="s">
        <v>146</v>
      </c>
      <c r="AD61" s="124"/>
      <c r="AG61" s="478">
        <v>9500</v>
      </c>
      <c r="AH61" s="476" t="s">
        <v>241</v>
      </c>
    </row>
    <row r="62" spans="1:37" s="107" customFormat="1" ht="21" customHeight="1">
      <c r="A62" s="385">
        <v>9</v>
      </c>
      <c r="B62" s="741" t="s">
        <v>245</v>
      </c>
      <c r="C62" s="742"/>
      <c r="D62" s="743"/>
      <c r="E62" s="528">
        <v>1</v>
      </c>
      <c r="F62" s="529" t="s">
        <v>116</v>
      </c>
      <c r="G62" s="390">
        <f>AVERAGE(N62:O62,W62)</f>
        <v>43000</v>
      </c>
      <c r="H62" s="413">
        <f t="shared" si="17"/>
        <v>43000</v>
      </c>
      <c r="I62" s="390" t="s">
        <v>239</v>
      </c>
      <c r="J62" s="390" t="s">
        <v>239</v>
      </c>
      <c r="K62" s="414">
        <f t="shared" si="18"/>
        <v>43000</v>
      </c>
      <c r="L62" s="385"/>
      <c r="M62" s="76"/>
      <c r="N62" s="503">
        <v>43000</v>
      </c>
      <c r="O62" s="503">
        <v>46000</v>
      </c>
      <c r="P62" s="272">
        <v>30000</v>
      </c>
      <c r="Q62" s="498" t="s">
        <v>130</v>
      </c>
      <c r="R62" s="137">
        <v>40000</v>
      </c>
      <c r="S62" s="519" t="s">
        <v>136</v>
      </c>
      <c r="U62" s="173">
        <v>526868</v>
      </c>
      <c r="V62" s="157" t="s">
        <v>131</v>
      </c>
      <c r="W62" s="522">
        <v>40000</v>
      </c>
      <c r="Y62" s="175" t="s">
        <v>130</v>
      </c>
      <c r="AA62" s="156" t="s">
        <v>136</v>
      </c>
      <c r="AC62" s="173">
        <v>526868</v>
      </c>
      <c r="AD62" s="157" t="s">
        <v>131</v>
      </c>
      <c r="AE62" s="478">
        <v>14990</v>
      </c>
      <c r="AF62" s="476" t="s">
        <v>246</v>
      </c>
      <c r="AG62" s="478">
        <v>18000</v>
      </c>
      <c r="AH62" s="476" t="s">
        <v>241</v>
      </c>
    </row>
    <row r="63" spans="1:37" s="107" customFormat="1" ht="21" customHeight="1">
      <c r="A63" s="385">
        <v>10</v>
      </c>
      <c r="B63" s="747" t="s">
        <v>248</v>
      </c>
      <c r="C63" s="747"/>
      <c r="D63" s="747"/>
      <c r="E63" s="528">
        <v>1</v>
      </c>
      <c r="F63" s="529" t="s">
        <v>116</v>
      </c>
      <c r="G63" s="425">
        <v>18500</v>
      </c>
      <c r="H63" s="510">
        <f t="shared" si="17"/>
        <v>18500</v>
      </c>
      <c r="I63" s="390" t="s">
        <v>239</v>
      </c>
      <c r="J63" s="390" t="s">
        <v>239</v>
      </c>
      <c r="K63" s="511">
        <f t="shared" ref="K63:K66" si="19">SUM(H63,J63)</f>
        <v>18500</v>
      </c>
      <c r="L63" s="385"/>
      <c r="M63" s="496" t="s">
        <v>247</v>
      </c>
      <c r="N63" s="503"/>
      <c r="O63" s="503"/>
      <c r="P63" s="504"/>
      <c r="Q63" s="499"/>
      <c r="R63" s="124"/>
      <c r="S63" s="137"/>
      <c r="T63" s="137"/>
      <c r="U63" s="124"/>
      <c r="V63" s="124"/>
      <c r="W63"/>
      <c r="X63" s="485"/>
      <c r="Y63" s="486"/>
      <c r="Z63" s="484"/>
      <c r="AA63" s="487"/>
      <c r="AC63" s="488"/>
      <c r="AD63" s="489"/>
      <c r="AE63" s="478"/>
      <c r="AF63" s="476"/>
      <c r="AG63" s="478"/>
      <c r="AH63" s="476"/>
    </row>
    <row r="64" spans="1:37" s="107" customFormat="1" ht="21" customHeight="1">
      <c r="A64" s="385">
        <v>11</v>
      </c>
      <c r="B64" s="512" t="s">
        <v>257</v>
      </c>
      <c r="C64" s="391"/>
      <c r="D64" s="391"/>
      <c r="E64" s="390">
        <v>1</v>
      </c>
      <c r="F64" s="385" t="s">
        <v>116</v>
      </c>
      <c r="G64" s="390">
        <f>AVERAGE(N64:O64)</f>
        <v>31550</v>
      </c>
      <c r="H64" s="413">
        <f t="shared" ref="H64" si="20">SUM(G64)*$E64</f>
        <v>31550</v>
      </c>
      <c r="I64" s="390" t="s">
        <v>239</v>
      </c>
      <c r="J64" s="390" t="s">
        <v>239</v>
      </c>
      <c r="K64" s="414">
        <f t="shared" ref="K64" si="21">SUM(,H64,J64)</f>
        <v>31550</v>
      </c>
      <c r="L64" s="385"/>
      <c r="M64" s="76"/>
      <c r="N64" s="503">
        <v>40000</v>
      </c>
      <c r="O64" s="503">
        <v>23100</v>
      </c>
      <c r="P64" s="503"/>
      <c r="Q64" s="493" t="s">
        <v>249</v>
      </c>
      <c r="R64" s="493" t="s">
        <v>250</v>
      </c>
      <c r="S64" s="520"/>
      <c r="W64"/>
      <c r="X64" s="485"/>
      <c r="Y64" s="486"/>
      <c r="Z64" s="484"/>
      <c r="AA64" s="487"/>
      <c r="AC64" s="488"/>
      <c r="AD64" s="489"/>
      <c r="AE64" s="478"/>
      <c r="AF64" s="476"/>
      <c r="AG64" s="478"/>
      <c r="AH64" s="476"/>
    </row>
    <row r="65" spans="1:34" s="107" customFormat="1" ht="21" customHeight="1">
      <c r="A65" s="385">
        <v>12</v>
      </c>
      <c r="B65" s="512" t="s">
        <v>258</v>
      </c>
      <c r="C65" s="391"/>
      <c r="D65" s="391"/>
      <c r="E65" s="390">
        <v>2</v>
      </c>
      <c r="F65" s="385" t="s">
        <v>116</v>
      </c>
      <c r="G65" s="390">
        <f>AVERAGE(N65:O65)</f>
        <v>80500</v>
      </c>
      <c r="H65" s="510">
        <f t="shared" si="17"/>
        <v>161000</v>
      </c>
      <c r="I65" s="390" t="s">
        <v>239</v>
      </c>
      <c r="J65" s="390" t="s">
        <v>239</v>
      </c>
      <c r="K65" s="511">
        <f t="shared" si="19"/>
        <v>161000</v>
      </c>
      <c r="L65" s="385"/>
      <c r="M65" s="76"/>
      <c r="N65" s="505">
        <v>79000</v>
      </c>
      <c r="O65" s="503">
        <v>82000</v>
      </c>
      <c r="P65" s="506" t="s">
        <v>251</v>
      </c>
      <c r="Q65" s="494" t="s">
        <v>252</v>
      </c>
      <c r="R65" s="494"/>
      <c r="S65" s="520"/>
      <c r="T65" s="488"/>
      <c r="V65" s="475"/>
      <c r="W65" s="484"/>
      <c r="X65" s="485"/>
      <c r="Y65" s="486"/>
      <c r="Z65" s="484"/>
      <c r="AA65" s="487"/>
      <c r="AC65" s="488"/>
      <c r="AD65" s="489"/>
      <c r="AE65" s="478"/>
      <c r="AF65" s="476"/>
      <c r="AG65" s="478"/>
      <c r="AH65" s="476"/>
    </row>
    <row r="66" spans="1:34" s="107" customFormat="1" ht="21" customHeight="1">
      <c r="A66" s="385">
        <v>13</v>
      </c>
      <c r="B66" s="512" t="s">
        <v>256</v>
      </c>
      <c r="C66" s="391"/>
      <c r="D66" s="391"/>
      <c r="E66" s="390">
        <v>1</v>
      </c>
      <c r="F66" s="385" t="s">
        <v>116</v>
      </c>
      <c r="G66" s="390">
        <f>AVERAGE(N66:P66)</f>
        <v>168300</v>
      </c>
      <c r="H66" s="510">
        <f t="shared" si="17"/>
        <v>168300</v>
      </c>
      <c r="I66" s="390" t="s">
        <v>239</v>
      </c>
      <c r="J66" s="390" t="s">
        <v>239</v>
      </c>
      <c r="K66" s="511">
        <f t="shared" si="19"/>
        <v>168300</v>
      </c>
      <c r="L66" s="385"/>
      <c r="M66" s="76"/>
      <c r="N66" s="505">
        <v>280000</v>
      </c>
      <c r="O66" s="503">
        <v>89900</v>
      </c>
      <c r="P66" s="503">
        <v>135000</v>
      </c>
      <c r="Q66" s="493" t="s">
        <v>253</v>
      </c>
      <c r="R66" s="493" t="s">
        <v>254</v>
      </c>
      <c r="S66" s="521" t="s">
        <v>255</v>
      </c>
      <c r="V66" s="475"/>
      <c r="W66" s="484"/>
      <c r="X66" s="485"/>
      <c r="Y66" s="486"/>
      <c r="Z66" s="484"/>
      <c r="AA66" s="487"/>
      <c r="AC66" s="488"/>
      <c r="AD66" s="489"/>
      <c r="AE66" s="478"/>
      <c r="AF66" s="476"/>
      <c r="AG66" s="478"/>
      <c r="AH66" s="476"/>
    </row>
    <row r="67" spans="1:34" s="107" customFormat="1" ht="18" customHeight="1">
      <c r="A67" s="479"/>
      <c r="B67" s="327"/>
      <c r="C67" s="395"/>
      <c r="D67" s="480"/>
      <c r="E67" s="481"/>
      <c r="F67" s="479"/>
      <c r="G67" s="482"/>
      <c r="H67" s="483"/>
      <c r="I67" s="481"/>
      <c r="J67" s="481"/>
      <c r="K67" s="495"/>
      <c r="L67" s="479"/>
      <c r="M67" s="76"/>
      <c r="N67" s="507"/>
      <c r="O67" s="475"/>
      <c r="P67" s="475"/>
      <c r="S67" s="520"/>
      <c r="T67" s="488"/>
      <c r="V67" s="475"/>
      <c r="W67" s="484"/>
      <c r="X67" s="485"/>
      <c r="Y67" s="486"/>
      <c r="Z67" s="484"/>
      <c r="AA67" s="487"/>
      <c r="AC67" s="488"/>
      <c r="AD67" s="489"/>
      <c r="AE67" s="478"/>
      <c r="AF67" s="476"/>
      <c r="AG67" s="478"/>
      <c r="AH67" s="476"/>
    </row>
    <row r="68" spans="1:34" ht="24.6" customHeight="1">
      <c r="A68" s="385"/>
      <c r="B68" s="726"/>
      <c r="C68" s="727"/>
      <c r="D68" s="728"/>
      <c r="E68" s="390"/>
      <c r="F68" s="385"/>
      <c r="G68" s="390"/>
      <c r="H68" s="413"/>
      <c r="I68" s="390"/>
      <c r="J68" s="413"/>
      <c r="K68" s="508">
        <f>SUM(K54:K66)</f>
        <v>1441943.3333333333</v>
      </c>
      <c r="L68" s="385"/>
      <c r="N68" s="409" t="s">
        <v>147</v>
      </c>
      <c r="O68" s="409" t="s">
        <v>148</v>
      </c>
      <c r="P68" s="438"/>
      <c r="Q68" s="409"/>
      <c r="R68" s="436"/>
      <c r="S68" s="518"/>
      <c r="T68" s="439"/>
      <c r="U68" s="386"/>
      <c r="V68" s="440"/>
    </row>
    <row r="69" spans="1:34" ht="27" customHeight="1">
      <c r="A69" s="441"/>
      <c r="B69" s="744" t="s">
        <v>14</v>
      </c>
      <c r="C69" s="745"/>
      <c r="D69" s="746"/>
      <c r="E69" s="442"/>
      <c r="F69" s="441"/>
      <c r="G69" s="443"/>
      <c r="H69" s="444"/>
      <c r="I69" s="444"/>
      <c r="J69" s="444"/>
      <c r="K69" s="444">
        <f>SUM(K10:K30,K32,K34:K40,K42:K48,K50:K52,K54:K66)</f>
        <v>6193957.6666666651</v>
      </c>
      <c r="L69" s="445"/>
      <c r="M69" s="382"/>
      <c r="T69" s="446"/>
    </row>
    <row r="70" spans="1:34">
      <c r="K70" s="399"/>
    </row>
    <row r="71" spans="1:34">
      <c r="A71" s="650"/>
      <c r="B71" s="650"/>
      <c r="C71" s="650"/>
      <c r="D71" s="650"/>
      <c r="E71" s="650"/>
      <c r="F71" s="650"/>
      <c r="G71" s="650"/>
      <c r="H71" s="650"/>
      <c r="I71" s="650"/>
      <c r="J71" s="650"/>
      <c r="K71" s="650"/>
      <c r="L71" s="650"/>
    </row>
    <row r="72" spans="1:34" ht="17.25" customHeight="1">
      <c r="A72" s="650"/>
      <c r="B72" s="650"/>
      <c r="C72" s="650"/>
      <c r="D72" s="650"/>
      <c r="E72" s="650"/>
      <c r="F72" s="650"/>
      <c r="G72" s="650"/>
      <c r="H72" s="650"/>
      <c r="I72" s="650"/>
      <c r="J72" s="650"/>
      <c r="K72" s="650"/>
      <c r="L72" s="650"/>
      <c r="M72" s="381"/>
      <c r="N72" s="381"/>
      <c r="O72" s="381"/>
      <c r="P72" s="381"/>
      <c r="Q72" s="381"/>
      <c r="R72" s="381"/>
      <c r="S72" s="514"/>
      <c r="T72" s="381"/>
      <c r="U72" s="381"/>
      <c r="V72" s="381"/>
    </row>
    <row r="73" spans="1:34" ht="17.25" customHeight="1">
      <c r="A73" s="650"/>
      <c r="B73" s="650"/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381"/>
      <c r="N73" s="381"/>
      <c r="O73" s="381"/>
      <c r="P73" s="381"/>
      <c r="Q73" s="381"/>
      <c r="R73" s="381"/>
      <c r="S73" s="514"/>
      <c r="T73" s="381"/>
      <c r="U73" s="381"/>
      <c r="V73" s="381"/>
    </row>
    <row r="74" spans="1:34" ht="17.25" customHeight="1">
      <c r="A74" s="708"/>
      <c r="B74" s="708"/>
      <c r="C74" s="708"/>
      <c r="D74" s="708"/>
      <c r="E74" s="708"/>
      <c r="F74" s="708"/>
      <c r="G74" s="708"/>
      <c r="H74" s="708"/>
      <c r="I74" s="708"/>
      <c r="J74" s="708"/>
      <c r="K74" s="708"/>
      <c r="L74" s="708"/>
      <c r="M74" s="381"/>
      <c r="N74" s="381"/>
      <c r="O74" s="381"/>
      <c r="P74" s="381"/>
      <c r="Q74" s="381"/>
      <c r="R74" s="381"/>
      <c r="S74" s="514"/>
      <c r="T74" s="381"/>
      <c r="U74" s="381"/>
      <c r="V74" s="381"/>
    </row>
    <row r="75" spans="1:34">
      <c r="A75" s="708"/>
      <c r="B75" s="708"/>
      <c r="C75" s="708"/>
      <c r="D75" s="708"/>
      <c r="E75" s="708"/>
      <c r="F75" s="708"/>
      <c r="G75" s="708"/>
      <c r="H75" s="708"/>
      <c r="I75" s="708"/>
      <c r="J75" s="708"/>
      <c r="K75" s="708"/>
      <c r="L75" s="708"/>
    </row>
    <row r="76" spans="1:34">
      <c r="A76" s="708"/>
      <c r="B76" s="708"/>
      <c r="C76" s="708"/>
      <c r="D76" s="708"/>
      <c r="E76" s="708"/>
      <c r="F76" s="708"/>
      <c r="G76" s="708"/>
      <c r="H76" s="708"/>
      <c r="I76" s="708"/>
      <c r="J76" s="708"/>
      <c r="K76" s="708"/>
      <c r="L76" s="708"/>
    </row>
    <row r="78" spans="1:34">
      <c r="D78" s="447"/>
    </row>
    <row r="79" spans="1:34">
      <c r="E79" s="382"/>
    </row>
    <row r="80" spans="1:34">
      <c r="D80" s="448"/>
    </row>
    <row r="81" spans="4:4">
      <c r="D81" s="448"/>
    </row>
    <row r="82" spans="4:4">
      <c r="D82" s="447"/>
    </row>
    <row r="83" spans="4:4">
      <c r="D83" s="447"/>
    </row>
  </sheetData>
  <mergeCells count="42">
    <mergeCell ref="A33:L33"/>
    <mergeCell ref="A75:L75"/>
    <mergeCell ref="A76:L76"/>
    <mergeCell ref="B68:D68"/>
    <mergeCell ref="B69:D69"/>
    <mergeCell ref="A71:L71"/>
    <mergeCell ref="A72:L72"/>
    <mergeCell ref="A73:L73"/>
    <mergeCell ref="A74:L74"/>
    <mergeCell ref="B63:D63"/>
    <mergeCell ref="B39:D39"/>
    <mergeCell ref="B40:D40"/>
    <mergeCell ref="A41:L41"/>
    <mergeCell ref="B47:D47"/>
    <mergeCell ref="B48:D48"/>
    <mergeCell ref="A49:L49"/>
    <mergeCell ref="B53:D53"/>
    <mergeCell ref="B54:D54"/>
    <mergeCell ref="B55:D55"/>
    <mergeCell ref="B58:D58"/>
    <mergeCell ref="B62:D62"/>
    <mergeCell ref="L5:L6"/>
    <mergeCell ref="N5:R5"/>
    <mergeCell ref="B7:D7"/>
    <mergeCell ref="G5:H5"/>
    <mergeCell ref="A31:L31"/>
    <mergeCell ref="A9:L9"/>
    <mergeCell ref="B17:D17"/>
    <mergeCell ref="B18:D18"/>
    <mergeCell ref="B30:D30"/>
    <mergeCell ref="B8:D8"/>
    <mergeCell ref="A5:A6"/>
    <mergeCell ref="B5:D6"/>
    <mergeCell ref="E5:E6"/>
    <mergeCell ref="F5:F6"/>
    <mergeCell ref="I5:J5"/>
    <mergeCell ref="K5:K6"/>
    <mergeCell ref="A1:L1"/>
    <mergeCell ref="D2:L2"/>
    <mergeCell ref="A3:C3"/>
    <mergeCell ref="A4:C4"/>
    <mergeCell ref="D4:G4"/>
  </mergeCells>
  <hyperlinks>
    <hyperlink ref="P9" r:id="rId1" xr:uid="{00000000-0004-0000-0500-000000000000}"/>
    <hyperlink ref="O9" r:id="rId2" xr:uid="{00000000-0004-0000-0500-000001000000}"/>
    <hyperlink ref="Q9" r:id="rId3" xr:uid="{00000000-0004-0000-0500-000002000000}"/>
    <hyperlink ref="R9" r:id="rId4" xr:uid="{00000000-0004-0000-0500-000003000000}"/>
    <hyperlink ref="O31" r:id="rId5" xr:uid="{00000000-0004-0000-0500-000004000000}"/>
    <hyperlink ref="P31" r:id="rId6" xr:uid="{00000000-0004-0000-0500-000005000000}"/>
    <hyperlink ref="Q31" r:id="rId7" xr:uid="{00000000-0004-0000-0500-000006000000}"/>
    <hyperlink ref="R31" r:id="rId8" xr:uid="{00000000-0004-0000-0500-000007000000}"/>
    <hyperlink ref="Q33" r:id="rId9" xr:uid="{00000000-0004-0000-0500-000008000000}"/>
    <hyperlink ref="R33" r:id="rId10" xr:uid="{00000000-0004-0000-0500-000009000000}"/>
    <hyperlink ref="Q49" r:id="rId11" xr:uid="{00000000-0004-0000-0500-00000A000000}"/>
    <hyperlink ref="R49" r:id="rId12" xr:uid="{00000000-0004-0000-0500-00000B000000}"/>
    <hyperlink ref="Q57" r:id="rId13" xr:uid="{00000000-0004-0000-0500-00000C000000}"/>
    <hyperlink ref="Q56" r:id="rId14" xr:uid="{00000000-0004-0000-0500-00000D000000}"/>
    <hyperlink ref="Q58" r:id="rId15" xr:uid="{00000000-0004-0000-0500-00000E000000}"/>
    <hyperlink ref="Q55" r:id="rId16" xr:uid="{00000000-0004-0000-0500-00000F000000}"/>
    <hyperlink ref="R55" r:id="rId17" xr:uid="{00000000-0004-0000-0500-000010000000}"/>
    <hyperlink ref="S55" r:id="rId18" xr:uid="{00000000-0004-0000-0500-000011000000}"/>
    <hyperlink ref="N68" r:id="rId19" xr:uid="{00000000-0004-0000-0500-000012000000}"/>
    <hyperlink ref="O68" r:id="rId20" xr:uid="{00000000-0004-0000-0500-000013000000}"/>
    <hyperlink ref="Q54" r:id="rId21" xr:uid="{00000000-0004-0000-0500-000014000000}"/>
    <hyperlink ref="R54" r:id="rId22" xr:uid="{00000000-0004-0000-0500-000015000000}"/>
    <hyperlink ref="S54" r:id="rId23" xr:uid="{00000000-0004-0000-0500-000016000000}"/>
    <hyperlink ref="R41" r:id="rId24" xr:uid="{00000000-0004-0000-0500-000017000000}"/>
    <hyperlink ref="Q41" r:id="rId25" xr:uid="{00000000-0004-0000-0500-000018000000}"/>
    <hyperlink ref="O33" r:id="rId26" xr:uid="{00000000-0004-0000-0500-000019000000}"/>
    <hyperlink ref="P33" r:id="rId27" xr:uid="{00000000-0004-0000-0500-00001A000000}"/>
    <hyperlink ref="O41" r:id="rId28" xr:uid="{00000000-0004-0000-0500-00001B000000}"/>
    <hyperlink ref="P41" r:id="rId29" xr:uid="{00000000-0004-0000-0500-00001C000000}"/>
    <hyperlink ref="O49" r:id="rId30" xr:uid="{00000000-0004-0000-0500-00001D000000}"/>
    <hyperlink ref="P49" r:id="rId31" xr:uid="{00000000-0004-0000-0500-00001E000000}"/>
    <hyperlink ref="Y59" r:id="rId32" xr:uid="{00000000-0004-0000-0500-00001F000000}"/>
    <hyperlink ref="AA59" r:id="rId33" xr:uid="{00000000-0004-0000-0500-000020000000}"/>
    <hyperlink ref="AC59" r:id="rId34" xr:uid="{00000000-0004-0000-0500-000021000000}"/>
    <hyperlink ref="Y60" r:id="rId35" xr:uid="{00000000-0004-0000-0500-000022000000}"/>
    <hyperlink ref="AA60" r:id="rId36" xr:uid="{00000000-0004-0000-0500-000023000000}"/>
    <hyperlink ref="AC60" r:id="rId37" xr:uid="{00000000-0004-0000-0500-000024000000}"/>
    <hyperlink ref="Y61" r:id="rId38" xr:uid="{00000000-0004-0000-0500-000025000000}"/>
    <hyperlink ref="AA61" r:id="rId39" xr:uid="{00000000-0004-0000-0500-000026000000}"/>
    <hyperlink ref="AC61" r:id="rId40" xr:uid="{00000000-0004-0000-0500-000027000000}"/>
    <hyperlink ref="Y62" r:id="rId41" xr:uid="{00000000-0004-0000-0500-000028000000}"/>
    <hyperlink ref="AD62" r:id="rId42" xr:uid="{00000000-0004-0000-0500-000029000000}"/>
    <hyperlink ref="AA62" r:id="rId43" xr:uid="{00000000-0004-0000-0500-00002A000000}"/>
    <hyperlink ref="Q59" r:id="rId44" xr:uid="{00000000-0004-0000-0500-00002B000000}"/>
    <hyperlink ref="Q60" r:id="rId45" xr:uid="{00000000-0004-0000-0500-00002C000000}"/>
    <hyperlink ref="Q61" r:id="rId46" xr:uid="{00000000-0004-0000-0500-00002D000000}"/>
    <hyperlink ref="Q62" r:id="rId47" xr:uid="{00000000-0004-0000-0500-00002E000000}"/>
    <hyperlink ref="V62" r:id="rId48" xr:uid="{00000000-0004-0000-0500-00002F000000}"/>
    <hyperlink ref="S62" r:id="rId49" xr:uid="{00000000-0004-0000-0500-000030000000}"/>
    <hyperlink ref="S59" r:id="rId50" xr:uid="{00000000-0004-0000-0500-000031000000}"/>
    <hyperlink ref="S60" r:id="rId51" xr:uid="{00000000-0004-0000-0500-000032000000}"/>
    <hyperlink ref="S61" r:id="rId52" xr:uid="{00000000-0004-0000-0500-000033000000}"/>
    <hyperlink ref="U59" r:id="rId53" xr:uid="{00000000-0004-0000-0500-000034000000}"/>
    <hyperlink ref="U60" r:id="rId54" xr:uid="{00000000-0004-0000-0500-000035000000}"/>
    <hyperlink ref="U61" r:id="rId55" xr:uid="{00000000-0004-0000-0500-000036000000}"/>
    <hyperlink ref="Q64" r:id="rId56" xr:uid="{00000000-0004-0000-0500-000037000000}"/>
    <hyperlink ref="R64" r:id="rId57" xr:uid="{00000000-0004-0000-0500-000038000000}"/>
    <hyperlink ref="M63" r:id="rId58" xr:uid="{00000000-0004-0000-0500-000039000000}"/>
    <hyperlink ref="P65" r:id="rId59" xr:uid="{00000000-0004-0000-0500-00003A000000}"/>
    <hyperlink ref="Q65" r:id="rId60" xr:uid="{00000000-0004-0000-0500-00003B000000}"/>
    <hyperlink ref="R66" r:id="rId61" xr:uid="{00000000-0004-0000-0500-00003C000000}"/>
    <hyperlink ref="Q66" r:id="rId62" xr:uid="{00000000-0004-0000-0500-00003D000000}"/>
    <hyperlink ref="S66" r:id="rId63" xr:uid="{00000000-0004-0000-0500-00003E000000}"/>
  </hyperlinks>
  <pageMargins left="0.7" right="0.7" top="0.75" bottom="0.75" header="0.3" footer="0.3"/>
  <pageSetup paperSize="9" scale="90" fitToHeight="0" orientation="landscape" r:id="rId64"/>
  <headerFooter>
    <oddHeader>&amp;R&amp;"TH SarabunIT๙,Regular"&amp;16ปร4(ข) หน้า &amp;P/&amp;N</oddHeader>
  </headerFooter>
  <drawing r:id="rId6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V55"/>
  <sheetViews>
    <sheetView topLeftCell="A14" zoomScale="90" zoomScaleNormal="90" workbookViewId="0">
      <selection activeCell="S38" sqref="S38"/>
    </sheetView>
  </sheetViews>
  <sheetFormatPr defaultRowHeight="18"/>
  <cols>
    <col min="1" max="1" width="7.85546875" style="68" customWidth="1"/>
    <col min="2" max="2" width="9.140625" style="68" customWidth="1"/>
    <col min="3" max="3" width="9.7109375" style="68" customWidth="1"/>
    <col min="4" max="4" width="49.7109375" style="68" customWidth="1"/>
    <col min="5" max="6" width="9.7109375" style="68" customWidth="1"/>
    <col min="7" max="7" width="11.5703125" style="68" customWidth="1"/>
    <col min="8" max="8" width="12.140625" style="68" customWidth="1"/>
    <col min="9" max="10" width="9.7109375" style="68" customWidth="1"/>
    <col min="11" max="11" width="11.7109375" style="68" customWidth="1"/>
    <col min="12" max="12" width="9.7109375" style="68" customWidth="1"/>
    <col min="13" max="13" width="11.28515625" customWidth="1"/>
    <col min="14" max="14" width="10.7109375" style="97" customWidth="1"/>
    <col min="15" max="15" width="11" style="102" customWidth="1"/>
    <col min="16" max="16" width="11" customWidth="1"/>
    <col min="17" max="17" width="11.140625" style="102" customWidth="1"/>
    <col min="18" max="18" width="14.5703125" customWidth="1"/>
    <col min="19" max="19" width="15.140625" customWidth="1"/>
    <col min="20" max="20" width="13.42578125" customWidth="1"/>
  </cols>
  <sheetData>
    <row r="1" spans="1:20" s="1" customFormat="1" ht="22.5" customHeight="1">
      <c r="A1" s="782" t="s">
        <v>23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22"/>
      <c r="N1" s="93"/>
      <c r="O1" s="22"/>
      <c r="Q1" s="22"/>
    </row>
    <row r="2" spans="1:20" s="75" customFormat="1" ht="22.5" customHeight="1">
      <c r="A2" s="89" t="s">
        <v>33</v>
      </c>
      <c r="B2" s="89"/>
      <c r="C2" s="67"/>
      <c r="D2" s="67" t="s">
        <v>99</v>
      </c>
      <c r="E2" s="90"/>
      <c r="G2" s="91"/>
      <c r="H2" s="78"/>
      <c r="I2" s="67"/>
      <c r="J2" s="67"/>
      <c r="K2" s="67"/>
      <c r="L2" s="67"/>
      <c r="N2" s="94"/>
      <c r="O2" s="100"/>
      <c r="Q2" s="100"/>
    </row>
    <row r="3" spans="1:20" s="75" customFormat="1" ht="22.5" customHeight="1">
      <c r="A3" s="783" t="s">
        <v>0</v>
      </c>
      <c r="B3" s="783"/>
      <c r="C3" s="783"/>
      <c r="D3" s="75" t="s">
        <v>48</v>
      </c>
      <c r="I3" s="89"/>
      <c r="N3" s="95"/>
      <c r="O3" s="100"/>
      <c r="Q3" s="100"/>
    </row>
    <row r="4" spans="1:20" s="75" customFormat="1" ht="22.5" customHeight="1" thickBot="1">
      <c r="A4" s="784" t="s">
        <v>7</v>
      </c>
      <c r="B4" s="784"/>
      <c r="C4" s="784"/>
      <c r="D4" s="785" t="s">
        <v>138</v>
      </c>
      <c r="E4" s="785"/>
      <c r="F4" s="785"/>
      <c r="G4" s="785"/>
      <c r="H4" s="786"/>
      <c r="I4" s="786"/>
      <c r="J4" s="121"/>
      <c r="K4" s="121"/>
      <c r="L4" s="121"/>
      <c r="N4" s="781"/>
      <c r="O4" s="781"/>
      <c r="P4" s="765"/>
      <c r="Q4" s="765"/>
      <c r="R4" s="765"/>
    </row>
    <row r="5" spans="1:20" s="1" customFormat="1" ht="22.5" customHeight="1" thickTop="1">
      <c r="A5" s="766" t="s">
        <v>3</v>
      </c>
      <c r="B5" s="768" t="s">
        <v>4</v>
      </c>
      <c r="C5" s="769"/>
      <c r="D5" s="769"/>
      <c r="E5" s="772" t="s">
        <v>11</v>
      </c>
      <c r="F5" s="774" t="s">
        <v>13</v>
      </c>
      <c r="G5" s="776" t="s">
        <v>18</v>
      </c>
      <c r="H5" s="777"/>
      <c r="I5" s="776" t="s">
        <v>15</v>
      </c>
      <c r="J5" s="777"/>
      <c r="K5" s="778" t="s">
        <v>17</v>
      </c>
      <c r="L5" s="766" t="s">
        <v>5</v>
      </c>
      <c r="N5" s="780"/>
      <c r="O5" s="780"/>
      <c r="P5" s="780"/>
      <c r="Q5" s="780"/>
      <c r="R5" s="780"/>
      <c r="S5" s="780"/>
      <c r="T5" s="780"/>
    </row>
    <row r="6" spans="1:20" s="1" customFormat="1" ht="33" customHeight="1" thickBot="1">
      <c r="A6" s="767"/>
      <c r="B6" s="770"/>
      <c r="C6" s="771"/>
      <c r="D6" s="771"/>
      <c r="E6" s="773"/>
      <c r="F6" s="775"/>
      <c r="G6" s="4" t="s">
        <v>24</v>
      </c>
      <c r="H6" s="4" t="s">
        <v>16</v>
      </c>
      <c r="I6" s="4" t="s">
        <v>24</v>
      </c>
      <c r="J6" s="4" t="s">
        <v>16</v>
      </c>
      <c r="K6" s="779"/>
      <c r="L6" s="767"/>
      <c r="N6" s="145" t="s">
        <v>109</v>
      </c>
      <c r="O6" s="146" t="s">
        <v>110</v>
      </c>
      <c r="P6" s="755" t="s">
        <v>121</v>
      </c>
      <c r="Q6" s="755"/>
      <c r="R6" s="755"/>
      <c r="S6" s="146" t="s">
        <v>132</v>
      </c>
      <c r="T6" s="146" t="s">
        <v>149</v>
      </c>
    </row>
    <row r="7" spans="1:20" s="1" customFormat="1" ht="22.5" customHeight="1" thickTop="1">
      <c r="A7" s="85"/>
      <c r="B7" s="756" t="s">
        <v>94</v>
      </c>
      <c r="C7" s="757" t="s">
        <v>93</v>
      </c>
      <c r="D7" s="758" t="s">
        <v>93</v>
      </c>
      <c r="E7" s="36"/>
      <c r="F7" s="10"/>
      <c r="G7" s="11"/>
      <c r="H7" s="7"/>
      <c r="I7" s="11"/>
      <c r="J7" s="7"/>
      <c r="K7" s="9"/>
      <c r="L7" s="10"/>
      <c r="M7" s="88"/>
      <c r="N7" s="146" t="s">
        <v>152</v>
      </c>
      <c r="O7" s="146" t="s">
        <v>152</v>
      </c>
      <c r="P7" s="165" t="s">
        <v>150</v>
      </c>
      <c r="Q7" s="165" t="s">
        <v>151</v>
      </c>
      <c r="R7" s="261" t="s">
        <v>135</v>
      </c>
      <c r="S7" s="261" t="s">
        <v>147</v>
      </c>
      <c r="T7" s="262" t="s">
        <v>148</v>
      </c>
    </row>
    <row r="8" spans="1:20" s="1" customFormat="1" ht="22.5" customHeight="1">
      <c r="A8" s="317">
        <v>1</v>
      </c>
      <c r="B8" s="318" t="s">
        <v>183</v>
      </c>
      <c r="C8" s="319"/>
      <c r="D8" s="320"/>
      <c r="E8" s="36">
        <v>1</v>
      </c>
      <c r="F8" s="10" t="s">
        <v>49</v>
      </c>
      <c r="G8" s="6">
        <f>AVERAGE(N8,S8:T8)</f>
        <v>70233.333333333328</v>
      </c>
      <c r="H8" s="7">
        <f>E8*G8</f>
        <v>70233.333333333328</v>
      </c>
      <c r="I8" s="8"/>
      <c r="J8" s="7"/>
      <c r="K8" s="9">
        <f>H8+J8</f>
        <v>70233.333333333328</v>
      </c>
      <c r="L8" s="5"/>
      <c r="M8" s="88"/>
      <c r="N8" s="131">
        <v>71000</v>
      </c>
      <c r="O8" s="261" t="s">
        <v>134</v>
      </c>
      <c r="Q8" s="126"/>
      <c r="R8" s="181">
        <f>SUM(R9:R12)</f>
        <v>93990</v>
      </c>
      <c r="S8" s="136">
        <v>67500</v>
      </c>
      <c r="T8" s="155">
        <v>72200</v>
      </c>
    </row>
    <row r="9" spans="1:20" s="1" customFormat="1" ht="22.5" customHeight="1">
      <c r="A9" s="323"/>
      <c r="B9" s="126" t="s">
        <v>153</v>
      </c>
      <c r="C9" s="126"/>
      <c r="D9" s="126"/>
      <c r="E9" s="36"/>
      <c r="F9" s="10"/>
      <c r="G9" s="6"/>
      <c r="H9" s="7"/>
      <c r="I9" s="104"/>
      <c r="J9" s="7"/>
      <c r="K9" s="9"/>
      <c r="L9" s="5"/>
      <c r="M9" s="88"/>
      <c r="N9" s="131"/>
      <c r="O9" s="144"/>
      <c r="P9" s="136">
        <f>4670*3</f>
        <v>14010</v>
      </c>
      <c r="Q9" s="182">
        <f>770*3</f>
        <v>2310</v>
      </c>
      <c r="R9" s="181">
        <f>P9+Q9</f>
        <v>16320</v>
      </c>
      <c r="S9" s="136"/>
      <c r="T9" s="152"/>
    </row>
    <row r="10" spans="1:20" s="1" customFormat="1" ht="22.5" customHeight="1">
      <c r="A10" s="323"/>
      <c r="B10" s="126" t="s">
        <v>154</v>
      </c>
      <c r="C10" s="126"/>
      <c r="D10" s="126"/>
      <c r="E10" s="36"/>
      <c r="F10" s="10"/>
      <c r="G10" s="6"/>
      <c r="H10" s="7"/>
      <c r="I10" s="104"/>
      <c r="J10" s="7"/>
      <c r="K10" s="9"/>
      <c r="L10" s="5"/>
      <c r="M10" s="88"/>
      <c r="N10" s="131"/>
      <c r="O10" s="144"/>
      <c r="P10" s="136">
        <f>1310*3</f>
        <v>3930</v>
      </c>
      <c r="Q10" s="182">
        <f>220*3</f>
        <v>660</v>
      </c>
      <c r="R10" s="181">
        <f>P10+Q10</f>
        <v>4590</v>
      </c>
      <c r="S10" s="136"/>
      <c r="T10" s="152"/>
    </row>
    <row r="11" spans="1:20" s="1" customFormat="1" ht="22.5" customHeight="1">
      <c r="A11" s="323"/>
      <c r="B11" s="126" t="s">
        <v>155</v>
      </c>
      <c r="C11" s="126"/>
      <c r="D11" s="126"/>
      <c r="E11" s="36"/>
      <c r="F11" s="10"/>
      <c r="G11" s="6"/>
      <c r="H11" s="7"/>
      <c r="I11" s="104"/>
      <c r="J11" s="7"/>
      <c r="K11" s="9"/>
      <c r="L11" s="5"/>
      <c r="M11" s="88"/>
      <c r="N11" s="131"/>
      <c r="O11" s="144"/>
      <c r="P11" s="136">
        <f>1490*14</f>
        <v>20860</v>
      </c>
      <c r="Q11" s="182">
        <f>250*14</f>
        <v>3500</v>
      </c>
      <c r="R11" s="181">
        <f>P11+Q11</f>
        <v>24360</v>
      </c>
      <c r="S11" s="136"/>
      <c r="T11" s="152"/>
    </row>
    <row r="12" spans="1:20" s="1" customFormat="1" ht="22.5" customHeight="1">
      <c r="A12" s="323"/>
      <c r="B12" s="126" t="s">
        <v>178</v>
      </c>
      <c r="C12" s="126"/>
      <c r="D12" s="126"/>
      <c r="E12" s="36"/>
      <c r="F12" s="10"/>
      <c r="G12" s="6"/>
      <c r="H12" s="7"/>
      <c r="I12" s="104"/>
      <c r="J12" s="7"/>
      <c r="K12" s="9"/>
      <c r="L12" s="5"/>
      <c r="M12" s="88"/>
      <c r="N12" s="131"/>
      <c r="O12" s="144"/>
      <c r="P12" s="136">
        <f>1490*28</f>
        <v>41720</v>
      </c>
      <c r="Q12" s="182">
        <f>250*28</f>
        <v>7000</v>
      </c>
      <c r="R12" s="181">
        <f>P12+Q12</f>
        <v>48720</v>
      </c>
      <c r="S12" s="136"/>
      <c r="T12" s="152"/>
    </row>
    <row r="13" spans="1:20" s="1" customFormat="1" ht="22.5" customHeight="1">
      <c r="A13" s="317">
        <v>2</v>
      </c>
      <c r="B13" s="318" t="s">
        <v>97</v>
      </c>
      <c r="C13" s="319"/>
      <c r="D13" s="320"/>
      <c r="E13" s="36">
        <v>1</v>
      </c>
      <c r="F13" s="10" t="s">
        <v>49</v>
      </c>
      <c r="G13" s="6">
        <f t="shared" ref="G13:G17" si="0">AVERAGE(N13,S13:T13)</f>
        <v>333966.66666666669</v>
      </c>
      <c r="H13" s="7">
        <f>E13*G13</f>
        <v>333966.66666666669</v>
      </c>
      <c r="I13" s="104"/>
      <c r="J13" s="7"/>
      <c r="K13" s="9">
        <f>H13+J13</f>
        <v>333966.66666666669</v>
      </c>
      <c r="L13" s="5"/>
      <c r="M13" s="88"/>
      <c r="N13" s="131">
        <v>266000</v>
      </c>
      <c r="O13" s="172"/>
      <c r="P13" s="136"/>
      <c r="Q13" s="182"/>
      <c r="R13" s="181">
        <f>SUM(R14:R16)</f>
        <v>431800</v>
      </c>
      <c r="S13" s="136">
        <f>S14+S16</f>
        <v>355500</v>
      </c>
      <c r="T13" s="152">
        <f>T14+T15</f>
        <v>380400</v>
      </c>
    </row>
    <row r="14" spans="1:20" s="1" customFormat="1" ht="22.5" customHeight="1">
      <c r="A14" s="323"/>
      <c r="B14" s="126" t="s">
        <v>158</v>
      </c>
      <c r="C14" s="143"/>
      <c r="D14" s="143"/>
      <c r="E14" s="36"/>
      <c r="F14" s="10"/>
      <c r="G14" s="6"/>
      <c r="H14" s="7"/>
      <c r="I14" s="104"/>
      <c r="J14" s="7"/>
      <c r="K14" s="9"/>
      <c r="L14" s="5"/>
      <c r="M14" s="88"/>
      <c r="N14" s="132"/>
      <c r="O14" s="144"/>
      <c r="P14" s="136">
        <f>(2000*64)</f>
        <v>128000</v>
      </c>
      <c r="Q14" s="182">
        <f>(800*64)</f>
        <v>51200</v>
      </c>
      <c r="R14" s="181">
        <f t="shared" ref="R14:R16" si="1">P14+Q14</f>
        <v>179200</v>
      </c>
      <c r="S14" s="172">
        <f>73500*3</f>
        <v>220500</v>
      </c>
      <c r="T14" s="134">
        <f>78600*3</f>
        <v>235800</v>
      </c>
    </row>
    <row r="15" spans="1:20" s="1" customFormat="1" ht="20.25" customHeight="1">
      <c r="A15" s="323"/>
      <c r="B15" s="748" t="s">
        <v>156</v>
      </c>
      <c r="C15" s="749"/>
      <c r="D15" s="750"/>
      <c r="E15" s="36"/>
      <c r="F15" s="10"/>
      <c r="G15" s="6"/>
      <c r="H15" s="7"/>
      <c r="I15" s="104"/>
      <c r="J15" s="7"/>
      <c r="K15" s="9"/>
      <c r="L15" s="5"/>
      <c r="M15" s="88"/>
      <c r="N15" s="132"/>
      <c r="O15" s="144"/>
      <c r="P15" s="136">
        <f>26700*3</f>
        <v>80100</v>
      </c>
      <c r="Q15" s="182">
        <f>15400*3</f>
        <v>46200</v>
      </c>
      <c r="R15" s="181">
        <f t="shared" si="1"/>
        <v>126300</v>
      </c>
      <c r="S15" s="172"/>
      <c r="T15" s="134">
        <f>48200*3</f>
        <v>144600</v>
      </c>
    </row>
    <row r="16" spans="1:20" s="1" customFormat="1" ht="18.75" customHeight="1">
      <c r="A16" s="317"/>
      <c r="B16" s="759" t="s">
        <v>103</v>
      </c>
      <c r="C16" s="760"/>
      <c r="D16" s="761"/>
      <c r="E16" s="36"/>
      <c r="F16" s="10"/>
      <c r="G16" s="6"/>
      <c r="H16" s="7"/>
      <c r="I16" s="8"/>
      <c r="J16" s="7"/>
      <c r="K16" s="9"/>
      <c r="L16" s="5"/>
      <c r="M16" s="88"/>
      <c r="N16" s="132">
        <v>74000</v>
      </c>
      <c r="O16" s="144"/>
      <c r="P16" s="136">
        <f>26700*3</f>
        <v>80100</v>
      </c>
      <c r="Q16" s="182">
        <f>15400*3</f>
        <v>46200</v>
      </c>
      <c r="R16" s="181">
        <f t="shared" si="1"/>
        <v>126300</v>
      </c>
      <c r="S16" s="136">
        <f>45000*3</f>
        <v>135000</v>
      </c>
      <c r="T16" s="134"/>
    </row>
    <row r="17" spans="1:22" s="1" customFormat="1" ht="18.75" customHeight="1">
      <c r="A17" s="317">
        <v>3</v>
      </c>
      <c r="B17" s="265" t="s">
        <v>98</v>
      </c>
      <c r="C17" s="112"/>
      <c r="D17" s="113"/>
      <c r="E17" s="36">
        <v>1</v>
      </c>
      <c r="F17" s="10" t="s">
        <v>49</v>
      </c>
      <c r="G17" s="6">
        <f t="shared" si="0"/>
        <v>115633.33333333333</v>
      </c>
      <c r="H17" s="7">
        <f t="shared" ref="H17" si="2">E17*G17</f>
        <v>115633.33333333333</v>
      </c>
      <c r="I17" s="8"/>
      <c r="J17" s="7"/>
      <c r="K17" s="9">
        <f t="shared" ref="K17" si="3">H17+J17</f>
        <v>115633.33333333333</v>
      </c>
      <c r="L17" s="5"/>
      <c r="M17" s="88"/>
      <c r="N17" s="131">
        <v>202000</v>
      </c>
      <c r="O17" s="172"/>
      <c r="P17" s="152"/>
      <c r="Q17" s="152"/>
      <c r="R17" s="181">
        <f>SUM(R18:R20)</f>
        <v>400280</v>
      </c>
      <c r="S17" s="136">
        <v>70000</v>
      </c>
      <c r="T17" s="155">
        <v>74900</v>
      </c>
      <c r="U17" s="2" t="s">
        <v>182</v>
      </c>
      <c r="V17" s="1">
        <v>40000</v>
      </c>
    </row>
    <row r="18" spans="1:22" s="1" customFormat="1" ht="18.75" customHeight="1">
      <c r="A18" s="323"/>
      <c r="B18" s="762" t="s">
        <v>189</v>
      </c>
      <c r="C18" s="763"/>
      <c r="D18" s="764"/>
      <c r="E18" s="36"/>
      <c r="F18" s="10"/>
      <c r="G18" s="6"/>
      <c r="H18" s="7"/>
      <c r="I18" s="8"/>
      <c r="J18" s="7"/>
      <c r="K18" s="9"/>
      <c r="L18" s="5"/>
      <c r="M18" s="88"/>
      <c r="N18" s="132"/>
      <c r="O18" s="144"/>
      <c r="P18" s="136">
        <f>2670*14</f>
        <v>37380</v>
      </c>
      <c r="Q18" s="136">
        <f>4600*14</f>
        <v>64400</v>
      </c>
      <c r="R18" s="181">
        <f>P18+Q18</f>
        <v>101780</v>
      </c>
      <c r="S18" s="136"/>
      <c r="T18" s="152"/>
    </row>
    <row r="19" spans="1:22" s="1" customFormat="1" ht="18.75" customHeight="1">
      <c r="A19" s="323"/>
      <c r="B19" s="748"/>
      <c r="C19" s="749"/>
      <c r="D19" s="750"/>
      <c r="E19" s="36"/>
      <c r="F19" s="10"/>
      <c r="G19" s="6"/>
      <c r="H19" s="7"/>
      <c r="I19" s="8"/>
      <c r="J19" s="7"/>
      <c r="K19" s="9"/>
      <c r="L19" s="5"/>
      <c r="M19" s="88"/>
      <c r="N19" s="132"/>
      <c r="O19" s="144"/>
      <c r="P19" s="136">
        <v>93300</v>
      </c>
      <c r="Q19" s="136">
        <v>107700</v>
      </c>
      <c r="R19" s="181">
        <f>P19+Q19</f>
        <v>201000</v>
      </c>
      <c r="S19" s="136"/>
      <c r="T19" s="152"/>
    </row>
    <row r="20" spans="1:22" s="1" customFormat="1" ht="18.75" customHeight="1">
      <c r="A20" s="323"/>
      <c r="B20" s="748"/>
      <c r="C20" s="749"/>
      <c r="D20" s="750"/>
      <c r="E20" s="36"/>
      <c r="F20" s="10"/>
      <c r="G20" s="6"/>
      <c r="H20" s="7"/>
      <c r="I20" s="8"/>
      <c r="J20" s="7"/>
      <c r="K20" s="9"/>
      <c r="L20" s="5"/>
      <c r="M20" s="88"/>
      <c r="N20" s="132"/>
      <c r="O20" s="144"/>
      <c r="P20" s="136">
        <v>66700</v>
      </c>
      <c r="Q20" s="136">
        <v>30800</v>
      </c>
      <c r="R20" s="181">
        <f>P20+Q20</f>
        <v>97500</v>
      </c>
      <c r="S20" s="136"/>
      <c r="T20" s="152"/>
    </row>
    <row r="21" spans="1:22" s="1" customFormat="1" ht="18.75" customHeight="1">
      <c r="A21" s="317">
        <v>5</v>
      </c>
      <c r="B21" s="321" t="s">
        <v>188</v>
      </c>
      <c r="C21" s="112"/>
      <c r="D21" s="113"/>
      <c r="E21" s="36">
        <v>130</v>
      </c>
      <c r="F21" s="10" t="s">
        <v>187</v>
      </c>
      <c r="G21" s="11">
        <f>500</f>
        <v>500</v>
      </c>
      <c r="H21" s="7">
        <f>E21*500</f>
        <v>65000</v>
      </c>
      <c r="I21" s="8">
        <v>250</v>
      </c>
      <c r="J21" s="7">
        <f>I21*E21</f>
        <v>32500</v>
      </c>
      <c r="K21" s="9">
        <f>H21+J21</f>
        <v>97500</v>
      </c>
      <c r="L21" s="5" t="s">
        <v>157</v>
      </c>
      <c r="M21" s="263" t="s">
        <v>180</v>
      </c>
      <c r="N21" s="131">
        <v>192000</v>
      </c>
      <c r="O21" s="172"/>
      <c r="P21" s="136">
        <f>930*131.97</f>
        <v>122732.1</v>
      </c>
      <c r="Q21" s="136">
        <f>500*131.97</f>
        <v>65985</v>
      </c>
      <c r="R21" s="181">
        <f>P21+Q21</f>
        <v>188717.1</v>
      </c>
      <c r="S21" s="136">
        <f>2000*131.97</f>
        <v>263940</v>
      </c>
      <c r="T21" s="155">
        <f>2100*129</f>
        <v>270900</v>
      </c>
    </row>
    <row r="22" spans="1:22" s="1" customFormat="1" ht="18.75" customHeight="1">
      <c r="A22" s="317">
        <v>6</v>
      </c>
      <c r="B22" s="322" t="s">
        <v>140</v>
      </c>
      <c r="C22" s="112"/>
      <c r="D22" s="113"/>
      <c r="E22" s="36">
        <v>1</v>
      </c>
      <c r="F22" s="10" t="s">
        <v>49</v>
      </c>
      <c r="G22" s="11"/>
      <c r="H22" s="7"/>
      <c r="I22" s="8"/>
      <c r="J22" s="7"/>
      <c r="K22" s="9"/>
      <c r="L22" s="5"/>
      <c r="M22" s="88"/>
      <c r="N22" s="172"/>
      <c r="O22" s="172"/>
      <c r="P22" s="152"/>
      <c r="Q22" s="152"/>
      <c r="R22" s="181">
        <f>R23</f>
        <v>110800</v>
      </c>
      <c r="S22" s="172"/>
      <c r="T22" s="152"/>
    </row>
    <row r="23" spans="1:22" s="1" customFormat="1" ht="18.75" customHeight="1">
      <c r="A23" s="84"/>
      <c r="B23" s="179" t="s">
        <v>139</v>
      </c>
      <c r="C23" s="112"/>
      <c r="D23" s="113"/>
      <c r="E23" s="36"/>
      <c r="F23" s="10"/>
      <c r="G23" s="11"/>
      <c r="H23" s="7"/>
      <c r="I23" s="8"/>
      <c r="J23" s="7"/>
      <c r="K23" s="9"/>
      <c r="L23" s="5"/>
      <c r="M23" s="88"/>
      <c r="N23" s="144"/>
      <c r="O23" s="144"/>
      <c r="P23" s="136">
        <f>20000*4</f>
        <v>80000</v>
      </c>
      <c r="Q23" s="136">
        <f>7700*4</f>
        <v>30800</v>
      </c>
      <c r="R23" s="181">
        <f>P23+Q23</f>
        <v>110800</v>
      </c>
      <c r="S23" s="144"/>
      <c r="T23" s="152"/>
    </row>
    <row r="24" spans="1:22" s="1" customFormat="1" ht="18.75" customHeight="1">
      <c r="A24" s="84"/>
      <c r="B24" s="322"/>
      <c r="C24" s="112"/>
      <c r="D24" s="113"/>
      <c r="E24" s="36"/>
      <c r="F24" s="10"/>
      <c r="G24" s="159"/>
      <c r="H24" s="7"/>
      <c r="I24" s="8"/>
      <c r="J24" s="7"/>
      <c r="K24" s="9"/>
      <c r="L24" s="5"/>
      <c r="M24" s="88"/>
      <c r="N24" s="171"/>
      <c r="O24" s="144"/>
      <c r="P24" s="152"/>
      <c r="Q24" s="152"/>
      <c r="R24" s="181"/>
      <c r="S24" s="152"/>
      <c r="T24" s="152"/>
      <c r="U24" s="322" t="s">
        <v>141</v>
      </c>
    </row>
    <row r="25" spans="1:22" s="1" customFormat="1" ht="18.75" customHeight="1">
      <c r="A25" s="84"/>
      <c r="B25" s="322"/>
      <c r="C25" s="112"/>
      <c r="D25" s="113"/>
      <c r="E25" s="36"/>
      <c r="F25" s="10"/>
      <c r="G25" s="11"/>
      <c r="H25" s="7"/>
      <c r="I25" s="8"/>
      <c r="J25" s="7"/>
      <c r="K25" s="9"/>
      <c r="L25" s="5"/>
      <c r="M25" s="88"/>
      <c r="N25" s="171"/>
      <c r="O25" s="144"/>
      <c r="P25" s="136">
        <v>40000</v>
      </c>
      <c r="Q25" s="136">
        <v>0</v>
      </c>
      <c r="R25" s="181">
        <f>P25+Q25</f>
        <v>40000</v>
      </c>
      <c r="S25" s="152"/>
      <c r="T25" s="152"/>
      <c r="U25" s="322" t="s">
        <v>142</v>
      </c>
    </row>
    <row r="26" spans="1:22" s="1" customFormat="1" ht="18.75" customHeight="1">
      <c r="A26" s="84"/>
      <c r="B26" s="322"/>
      <c r="C26" s="112"/>
      <c r="D26" s="113"/>
      <c r="E26" s="36"/>
      <c r="F26" s="10"/>
      <c r="G26" s="6"/>
      <c r="H26" s="7"/>
      <c r="I26" s="8"/>
      <c r="J26" s="7"/>
      <c r="K26" s="9"/>
      <c r="L26" s="5"/>
      <c r="M26" s="88"/>
      <c r="N26" s="171"/>
      <c r="P26" s="136">
        <v>38000</v>
      </c>
      <c r="Q26" s="136">
        <v>22000</v>
      </c>
      <c r="R26" s="181">
        <f>P26+Q26</f>
        <v>60000</v>
      </c>
      <c r="S26" s="152"/>
      <c r="T26" s="152"/>
      <c r="U26" s="322" t="s">
        <v>143</v>
      </c>
    </row>
    <row r="27" spans="1:22" s="1" customFormat="1" ht="18.75" customHeight="1">
      <c r="A27" s="86"/>
      <c r="B27" s="324"/>
      <c r="C27" s="115"/>
      <c r="D27" s="116"/>
      <c r="E27" s="36"/>
      <c r="F27" s="10"/>
      <c r="G27" s="6"/>
      <c r="H27" s="7"/>
      <c r="I27" s="105"/>
      <c r="J27" s="7"/>
      <c r="K27" s="9"/>
      <c r="L27" s="10"/>
      <c r="M27" s="88"/>
      <c r="N27" s="171"/>
      <c r="O27" s="144">
        <v>750000</v>
      </c>
      <c r="P27" s="172"/>
      <c r="Q27" s="136">
        <v>150000</v>
      </c>
      <c r="R27" s="181">
        <f>P27+Q27</f>
        <v>150000</v>
      </c>
      <c r="S27" s="152"/>
      <c r="T27" s="152"/>
      <c r="U27" s="324" t="s">
        <v>144</v>
      </c>
    </row>
    <row r="28" spans="1:22" s="1" customFormat="1" ht="22.5" customHeight="1">
      <c r="M28" s="88"/>
      <c r="N28" s="134">
        <f>SUM(N8:N27)</f>
        <v>805000</v>
      </c>
      <c r="O28" s="134">
        <f>SUM(O9:O27)</f>
        <v>750000</v>
      </c>
      <c r="P28" s="134"/>
      <c r="Q28" s="134"/>
      <c r="R28" s="134">
        <f>R8+R13+R17+R21+R22+R25+R26+R27</f>
        <v>1475587.1</v>
      </c>
      <c r="S28" s="134">
        <f>S8+S13+S17+S21+S22+S25+S26+S27</f>
        <v>756940</v>
      </c>
      <c r="T28" s="134">
        <f t="shared" ref="T28" si="4">T8+T13+T17+T21+T22+T25+T26+T27</f>
        <v>798400</v>
      </c>
    </row>
    <row r="29" spans="1:22" s="1" customFormat="1" ht="34.5" customHeight="1">
      <c r="A29" s="78"/>
      <c r="B29" s="110"/>
      <c r="C29" s="78"/>
      <c r="D29" s="78"/>
      <c r="E29" s="3"/>
      <c r="F29" s="3"/>
      <c r="G29" s="3"/>
      <c r="H29" s="35"/>
      <c r="I29" s="35"/>
      <c r="J29" s="35"/>
      <c r="K29" s="35"/>
      <c r="L29" s="3"/>
      <c r="M29" s="88"/>
      <c r="N29" s="93"/>
      <c r="Q29" s="99"/>
    </row>
    <row r="30" spans="1:22" s="1" customFormat="1" ht="22.5" customHeight="1">
      <c r="A30" s="110"/>
      <c r="B30" s="110"/>
      <c r="C30" s="78"/>
      <c r="D30" s="79"/>
      <c r="E30" s="79"/>
      <c r="F30" s="79"/>
      <c r="G30" s="79"/>
      <c r="H30" s="751"/>
      <c r="I30" s="751"/>
      <c r="J30" s="751"/>
      <c r="K30" s="751"/>
      <c r="L30" s="3"/>
      <c r="M30" s="103"/>
      <c r="N30" s="93"/>
      <c r="O30" s="99"/>
      <c r="Q30" s="99"/>
      <c r="R30" s="99"/>
      <c r="S30" s="88"/>
    </row>
    <row r="31" spans="1:22" s="1" customFormat="1" ht="18.75" customHeight="1">
      <c r="A31" s="110"/>
      <c r="B31" s="75"/>
      <c r="C31" s="68"/>
      <c r="D31" s="68"/>
      <c r="E31" s="68"/>
      <c r="F31" s="68"/>
      <c r="G31" s="68"/>
      <c r="H31" s="68"/>
      <c r="I31" s="68"/>
      <c r="J31" s="68"/>
      <c r="K31" s="68"/>
      <c r="L31" s="68"/>
      <c r="N31" s="93"/>
      <c r="O31" s="99"/>
      <c r="Q31" s="99"/>
      <c r="R31" s="99"/>
      <c r="S31" s="88"/>
    </row>
    <row r="32" spans="1:22" s="1" customFormat="1" ht="18.75" customHeight="1">
      <c r="A32" s="110"/>
      <c r="B32" s="75"/>
      <c r="C32" s="75"/>
      <c r="D32" s="75"/>
      <c r="E32" s="68"/>
      <c r="F32" s="68"/>
      <c r="G32" s="68"/>
      <c r="H32" s="68"/>
      <c r="I32" s="68"/>
      <c r="J32" s="68"/>
      <c r="K32" s="68"/>
      <c r="L32" s="68"/>
      <c r="N32" s="93"/>
      <c r="O32" s="99"/>
      <c r="Q32" s="99"/>
      <c r="R32" s="99"/>
      <c r="S32" s="88"/>
    </row>
    <row r="33" spans="1:19" s="1" customFormat="1" ht="18.75" customHeight="1">
      <c r="A33" s="110"/>
      <c r="C33" s="75"/>
      <c r="D33" s="75"/>
      <c r="E33" s="68"/>
      <c r="F33" s="68"/>
      <c r="G33" s="68"/>
      <c r="H33" s="68"/>
      <c r="I33" s="68"/>
      <c r="J33" s="68"/>
      <c r="K33" s="68"/>
      <c r="L33" s="68"/>
      <c r="N33" s="93"/>
      <c r="O33" s="99"/>
      <c r="Q33" s="99"/>
      <c r="R33" s="99"/>
      <c r="S33" s="88"/>
    </row>
    <row r="34" spans="1:19" s="1" customFormat="1" ht="18.75" customHeight="1">
      <c r="A34" s="110"/>
      <c r="B34" s="75"/>
      <c r="C34" s="75"/>
      <c r="D34" s="75"/>
      <c r="E34" s="68"/>
      <c r="F34" s="68"/>
      <c r="G34" s="68"/>
      <c r="H34" s="68"/>
      <c r="I34" s="68"/>
      <c r="J34" s="68"/>
      <c r="K34" s="68"/>
      <c r="L34" s="68"/>
      <c r="N34" s="93"/>
      <c r="O34" s="99"/>
      <c r="Q34" s="99"/>
      <c r="R34" s="99"/>
      <c r="S34" s="88"/>
    </row>
    <row r="35" spans="1:19" s="1" customFormat="1" ht="18.75" customHeight="1">
      <c r="A35" s="68"/>
      <c r="B35" s="67"/>
      <c r="C35" s="183"/>
      <c r="D35" s="183"/>
      <c r="E35" s="68"/>
      <c r="F35" s="68"/>
      <c r="G35" s="68"/>
      <c r="H35" s="68"/>
      <c r="I35" s="68"/>
      <c r="J35" s="68"/>
      <c r="K35" s="68"/>
      <c r="L35" s="68"/>
      <c r="M35"/>
      <c r="N35" s="93"/>
      <c r="O35" s="99"/>
      <c r="Q35" s="99"/>
      <c r="R35" s="99"/>
      <c r="S35" s="88"/>
    </row>
    <row r="36" spans="1:19" s="1" customFormat="1" ht="18.75" customHeight="1">
      <c r="A36" s="68"/>
      <c r="B36" s="67"/>
      <c r="C36" s="183"/>
      <c r="D36" s="183"/>
      <c r="E36" s="68"/>
      <c r="F36" s="68"/>
      <c r="G36" s="68"/>
      <c r="H36" s="68"/>
      <c r="I36" s="68"/>
      <c r="J36" s="68"/>
      <c r="K36" s="68"/>
      <c r="L36" s="68"/>
      <c r="M36"/>
      <c r="N36" s="93"/>
      <c r="O36" s="99"/>
      <c r="Q36" s="99"/>
      <c r="R36" s="99"/>
      <c r="S36" s="88"/>
    </row>
    <row r="37" spans="1:19" s="1" customFormat="1" ht="18.75" customHeight="1">
      <c r="A37" s="68"/>
      <c r="B37" s="67"/>
      <c r="C37" s="183"/>
      <c r="D37" s="183"/>
      <c r="E37" s="68"/>
      <c r="F37" s="68"/>
      <c r="G37" s="68"/>
      <c r="H37" s="68"/>
      <c r="I37" s="68"/>
      <c r="J37" s="68"/>
      <c r="K37" s="68"/>
      <c r="L37" s="68"/>
      <c r="M37"/>
      <c r="N37" s="93"/>
      <c r="O37" s="99"/>
      <c r="Q37" s="99"/>
      <c r="R37" s="99"/>
      <c r="S37" s="88"/>
    </row>
    <row r="38" spans="1:19" s="1" customFormat="1" ht="18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/>
      <c r="N38" s="93"/>
      <c r="O38" s="99"/>
      <c r="Q38" s="99"/>
      <c r="R38" s="99"/>
      <c r="S38" s="88"/>
    </row>
    <row r="39" spans="1:19" s="1" customFormat="1" ht="18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/>
      <c r="N39" s="93"/>
      <c r="O39" s="99"/>
      <c r="Q39" s="99"/>
      <c r="R39" s="99"/>
      <c r="S39" s="88"/>
    </row>
    <row r="40" spans="1:19" s="1" customFormat="1" ht="18.7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/>
      <c r="N40" s="93"/>
      <c r="O40" s="99"/>
      <c r="Q40" s="99"/>
      <c r="R40" s="99"/>
      <c r="S40" s="88"/>
    </row>
    <row r="41" spans="1:19" s="1" customFormat="1" ht="18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/>
      <c r="N41" s="93"/>
      <c r="O41" s="99"/>
      <c r="Q41" s="99"/>
      <c r="R41" s="99"/>
      <c r="S41" s="88"/>
    </row>
    <row r="42" spans="1:19" s="1" customFormat="1" ht="18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/>
      <c r="N42" s="93"/>
      <c r="O42" s="99"/>
      <c r="Q42" s="99"/>
      <c r="R42" s="99"/>
      <c r="S42" s="88"/>
    </row>
    <row r="43" spans="1:19" s="2" customFormat="1" ht="18.75" customHeight="1">
      <c r="M43"/>
      <c r="N43" s="96"/>
      <c r="O43" s="101"/>
      <c r="Q43" s="101"/>
      <c r="S43" s="103"/>
    </row>
    <row r="44" spans="1:19" s="1" customFormat="1" ht="18.7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 s="93"/>
      <c r="O44" s="22"/>
      <c r="Q44" s="22"/>
      <c r="S44" s="88"/>
    </row>
    <row r="45" spans="1:19" s="1" customFormat="1" ht="18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 s="93"/>
      <c r="O45" s="22"/>
      <c r="Q45" s="22"/>
    </row>
    <row r="46" spans="1:19" s="1" customFormat="1" ht="18.7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 s="93"/>
      <c r="O46" s="22"/>
      <c r="Q46" s="22"/>
    </row>
    <row r="47" spans="1:19" s="1" customFormat="1" ht="18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 s="93"/>
      <c r="O47" s="22"/>
      <c r="Q47" s="22"/>
    </row>
    <row r="53" spans="1:12" ht="18.75" thickBot="1"/>
    <row r="54" spans="1:12" ht="20.25" thickTop="1" thickBot="1">
      <c r="A54" s="752" t="s">
        <v>14</v>
      </c>
      <c r="B54" s="753"/>
      <c r="C54" s="753"/>
      <c r="D54" s="753"/>
      <c r="E54" s="753"/>
      <c r="F54" s="753"/>
      <c r="G54" s="754"/>
      <c r="H54" s="12">
        <f>SUM(H7:H27)</f>
        <v>584833.33333333326</v>
      </c>
      <c r="I54" s="12"/>
      <c r="J54" s="12">
        <f>SUM(J7:J27)</f>
        <v>32500</v>
      </c>
      <c r="K54" s="12">
        <f>SUM(K7:K27)</f>
        <v>617333.33333333326</v>
      </c>
      <c r="L54" s="13"/>
    </row>
    <row r="55" spans="1:12" ht="18.75" thickTop="1"/>
  </sheetData>
  <mergeCells count="25">
    <mergeCell ref="A1:L1"/>
    <mergeCell ref="A3:C3"/>
    <mergeCell ref="A4:C4"/>
    <mergeCell ref="D4:G4"/>
    <mergeCell ref="H4:I4"/>
    <mergeCell ref="P4:R4"/>
    <mergeCell ref="A5:A6"/>
    <mergeCell ref="B5:D6"/>
    <mergeCell ref="E5:E6"/>
    <mergeCell ref="F5:F6"/>
    <mergeCell ref="G5:H5"/>
    <mergeCell ref="I5:J5"/>
    <mergeCell ref="K5:K6"/>
    <mergeCell ref="L5:L6"/>
    <mergeCell ref="N5:T5"/>
    <mergeCell ref="N4:O4"/>
    <mergeCell ref="B20:D20"/>
    <mergeCell ref="H30:K30"/>
    <mergeCell ref="A54:G54"/>
    <mergeCell ref="P6:R6"/>
    <mergeCell ref="B7:D7"/>
    <mergeCell ref="B15:D15"/>
    <mergeCell ref="B16:D16"/>
    <mergeCell ref="B18:D18"/>
    <mergeCell ref="B19:D19"/>
  </mergeCells>
  <hyperlinks>
    <hyperlink ref="O8" r:id="rId1" xr:uid="{00000000-0004-0000-0600-000000000000}"/>
    <hyperlink ref="R7" r:id="rId2" xr:uid="{00000000-0004-0000-0600-000001000000}"/>
    <hyperlink ref="S7" r:id="rId3" xr:uid="{00000000-0004-0000-0600-000002000000}"/>
    <hyperlink ref="T7" r:id="rId4" xr:uid="{00000000-0004-0000-0600-000003000000}"/>
    <hyperlink ref="M21" r:id="rId5" xr:uid="{00000000-0004-0000-0600-000004000000}"/>
  </hyperlinks>
  <pageMargins left="0.7" right="0.7" top="0.75" bottom="0.75" header="0.3" footer="0.3"/>
  <pageSetup paperSize="9" scale="73" fitToWidth="0" orientation="landscape" horizontalDpi="300" verticalDpi="300" r:id="rId6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25"/>
  <sheetViews>
    <sheetView topLeftCell="A4" zoomScale="90" zoomScaleNormal="90" workbookViewId="0">
      <selection activeCell="A7" sqref="A7:T17"/>
    </sheetView>
  </sheetViews>
  <sheetFormatPr defaultRowHeight="18"/>
  <cols>
    <col min="1" max="1" width="9.7109375" style="68" customWidth="1"/>
    <col min="2" max="2" width="9.140625" style="68" customWidth="1"/>
    <col min="3" max="3" width="9.7109375" style="68" customWidth="1"/>
    <col min="4" max="6" width="10.140625" style="68" customWidth="1"/>
    <col min="7" max="7" width="11.28515625" style="68" customWidth="1"/>
    <col min="8" max="8" width="11.5703125" style="68" customWidth="1"/>
    <col min="9" max="10" width="10.140625" style="68" customWidth="1"/>
    <col min="11" max="11" width="11.7109375" style="68" customWidth="1"/>
    <col min="12" max="12" width="10.140625" style="68" customWidth="1"/>
    <col min="13" max="13" width="10.140625" customWidth="1"/>
    <col min="14" max="14" width="11.7109375" style="97" customWidth="1"/>
    <col min="15" max="15" width="10.140625" style="102" customWidth="1"/>
    <col min="16" max="16" width="10.140625" customWidth="1"/>
    <col min="17" max="17" width="10.140625" style="102" customWidth="1"/>
    <col min="18" max="18" width="11.28515625" customWidth="1"/>
    <col min="19" max="19" width="10.140625" customWidth="1"/>
    <col min="20" max="20" width="12" customWidth="1"/>
  </cols>
  <sheetData>
    <row r="1" spans="1:20" s="1" customFormat="1" ht="22.5" customHeight="1">
      <c r="A1" s="782" t="s">
        <v>23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22"/>
      <c r="N1" s="93"/>
      <c r="O1" s="22"/>
      <c r="Q1" s="22"/>
    </row>
    <row r="2" spans="1:20" s="75" customFormat="1" ht="22.5" customHeight="1">
      <c r="A2" s="89" t="s">
        <v>33</v>
      </c>
      <c r="B2" s="89"/>
      <c r="C2" s="67"/>
      <c r="D2" s="67" t="s">
        <v>99</v>
      </c>
      <c r="E2" s="90"/>
      <c r="G2" s="91"/>
      <c r="H2" s="78"/>
      <c r="I2" s="67"/>
      <c r="J2" s="67"/>
      <c r="K2" s="67"/>
      <c r="L2" s="67"/>
      <c r="N2" s="94"/>
      <c r="O2" s="100"/>
      <c r="Q2" s="100"/>
    </row>
    <row r="3" spans="1:20" s="75" customFormat="1" ht="22.5" customHeight="1">
      <c r="A3" s="783" t="s">
        <v>0</v>
      </c>
      <c r="B3" s="783"/>
      <c r="C3" s="783"/>
      <c r="D3" s="75" t="s">
        <v>48</v>
      </c>
      <c r="I3" s="89"/>
      <c r="N3" s="95"/>
      <c r="O3" s="100"/>
      <c r="Q3" s="100"/>
    </row>
    <row r="4" spans="1:20" s="75" customFormat="1" ht="22.5" customHeight="1" thickBot="1">
      <c r="A4" s="784" t="s">
        <v>7</v>
      </c>
      <c r="B4" s="784"/>
      <c r="C4" s="784"/>
      <c r="D4" s="785" t="s">
        <v>138</v>
      </c>
      <c r="E4" s="785"/>
      <c r="F4" s="785"/>
      <c r="G4" s="785"/>
      <c r="H4" s="786"/>
      <c r="I4" s="786"/>
      <c r="J4" s="121"/>
      <c r="K4" s="121"/>
      <c r="L4" s="121"/>
      <c r="N4" s="781"/>
      <c r="O4" s="781"/>
      <c r="P4" s="765"/>
      <c r="Q4" s="765"/>
      <c r="R4" s="765"/>
    </row>
    <row r="5" spans="1:20" s="1" customFormat="1" ht="22.5" customHeight="1" thickTop="1">
      <c r="A5" s="766" t="s">
        <v>3</v>
      </c>
      <c r="B5" s="768" t="s">
        <v>4</v>
      </c>
      <c r="C5" s="769"/>
      <c r="D5" s="769"/>
      <c r="E5" s="772" t="s">
        <v>11</v>
      </c>
      <c r="F5" s="774" t="s">
        <v>13</v>
      </c>
      <c r="G5" s="776" t="s">
        <v>18</v>
      </c>
      <c r="H5" s="777"/>
      <c r="I5" s="776" t="s">
        <v>15</v>
      </c>
      <c r="J5" s="777"/>
      <c r="K5" s="778" t="s">
        <v>17</v>
      </c>
      <c r="L5" s="766" t="s">
        <v>5</v>
      </c>
      <c r="N5" s="145" t="s">
        <v>109</v>
      </c>
      <c r="O5" s="146" t="s">
        <v>110</v>
      </c>
      <c r="P5" s="755" t="s">
        <v>121</v>
      </c>
      <c r="Q5" s="755"/>
      <c r="R5" s="755"/>
      <c r="S5" s="146" t="s">
        <v>132</v>
      </c>
      <c r="T5" s="146" t="s">
        <v>149</v>
      </c>
    </row>
    <row r="6" spans="1:20" s="1" customFormat="1" ht="33" customHeight="1" thickBot="1">
      <c r="A6" s="767"/>
      <c r="B6" s="770"/>
      <c r="C6" s="771"/>
      <c r="D6" s="771"/>
      <c r="E6" s="773"/>
      <c r="F6" s="775"/>
      <c r="G6" s="4" t="s">
        <v>24</v>
      </c>
      <c r="H6" s="4" t="s">
        <v>16</v>
      </c>
      <c r="I6" s="4" t="s">
        <v>24</v>
      </c>
      <c r="J6" s="4" t="s">
        <v>16</v>
      </c>
      <c r="K6" s="779"/>
      <c r="L6" s="767"/>
      <c r="N6" s="146" t="s">
        <v>152</v>
      </c>
      <c r="O6" s="146" t="s">
        <v>152</v>
      </c>
      <c r="P6" s="165" t="s">
        <v>150</v>
      </c>
      <c r="Q6" s="165" t="s">
        <v>151</v>
      </c>
      <c r="R6" s="165" t="s">
        <v>152</v>
      </c>
      <c r="S6" s="146" t="s">
        <v>152</v>
      </c>
      <c r="T6" s="146" t="s">
        <v>152</v>
      </c>
    </row>
    <row r="7" spans="1:20" s="1" customFormat="1" ht="22.5" customHeight="1" thickTop="1">
      <c r="A7" s="84"/>
      <c r="B7" s="118" t="s">
        <v>77</v>
      </c>
      <c r="C7" s="119"/>
      <c r="D7" s="120"/>
      <c r="E7" s="36"/>
      <c r="F7" s="10"/>
      <c r="G7" s="11"/>
      <c r="H7" s="7"/>
      <c r="I7" s="8"/>
      <c r="J7" s="7"/>
      <c r="K7" s="9"/>
      <c r="L7" s="5"/>
      <c r="M7" s="87"/>
      <c r="N7" s="93"/>
      <c r="O7" s="261" t="s">
        <v>134</v>
      </c>
      <c r="Q7" s="99"/>
      <c r="R7" s="261" t="s">
        <v>135</v>
      </c>
      <c r="S7" s="261" t="s">
        <v>147</v>
      </c>
      <c r="T7" s="262" t="s">
        <v>148</v>
      </c>
    </row>
    <row r="8" spans="1:20" s="1" customFormat="1" ht="22.5" customHeight="1">
      <c r="A8" s="193">
        <v>1</v>
      </c>
      <c r="B8" s="787" t="s">
        <v>55</v>
      </c>
      <c r="C8" s="788" t="s">
        <v>55</v>
      </c>
      <c r="D8" s="789" t="s">
        <v>55</v>
      </c>
      <c r="E8" s="194">
        <v>1</v>
      </c>
      <c r="F8" s="195" t="s">
        <v>49</v>
      </c>
      <c r="G8" s="196">
        <f>AVERAGE(N8,S8:T8)</f>
        <v>10050</v>
      </c>
      <c r="H8" s="197">
        <f>E8*G8</f>
        <v>10050</v>
      </c>
      <c r="I8" s="198"/>
      <c r="J8" s="197"/>
      <c r="K8" s="199">
        <f>H8+J8</f>
        <v>10050</v>
      </c>
      <c r="L8" s="195"/>
      <c r="M8" s="200"/>
      <c r="N8" s="210">
        <v>10000</v>
      </c>
      <c r="O8" s="201"/>
      <c r="P8" s="202"/>
      <c r="Q8" s="211"/>
      <c r="R8" s="220">
        <f>SUM(R9:R12)</f>
        <v>12190</v>
      </c>
      <c r="S8" s="221">
        <v>9750</v>
      </c>
      <c r="T8" s="228">
        <v>10400</v>
      </c>
    </row>
    <row r="9" spans="1:20" s="1" customFormat="1" ht="22.5" customHeight="1">
      <c r="A9" s="92"/>
      <c r="B9" s="1" t="s">
        <v>159</v>
      </c>
      <c r="C9" s="24"/>
      <c r="D9" s="25"/>
      <c r="E9" s="36"/>
      <c r="F9" s="10"/>
      <c r="G9" s="192"/>
      <c r="H9" s="7"/>
      <c r="I9" s="8"/>
      <c r="J9" s="7"/>
      <c r="K9" s="9"/>
      <c r="L9" s="5"/>
      <c r="M9" s="88"/>
      <c r="N9" s="136"/>
      <c r="O9" s="135"/>
      <c r="P9" s="135">
        <v>4670</v>
      </c>
      <c r="Q9" s="213">
        <v>770</v>
      </c>
      <c r="R9" s="222">
        <f>P9+Q9</f>
        <v>5440</v>
      </c>
      <c r="S9" s="181"/>
      <c r="T9" s="134"/>
    </row>
    <row r="10" spans="1:20" s="1" customFormat="1" ht="22.5" customHeight="1">
      <c r="A10" s="92"/>
      <c r="B10" s="1" t="s">
        <v>160</v>
      </c>
      <c r="C10" s="24"/>
      <c r="D10" s="25"/>
      <c r="E10" s="36"/>
      <c r="F10" s="10"/>
      <c r="G10" s="192"/>
      <c r="H10" s="7"/>
      <c r="I10" s="8"/>
      <c r="J10" s="7"/>
      <c r="K10" s="9"/>
      <c r="L10" s="5"/>
      <c r="M10" s="88"/>
      <c r="N10" s="136"/>
      <c r="O10" s="135"/>
      <c r="P10" s="135">
        <v>1310</v>
      </c>
      <c r="Q10" s="213">
        <v>220</v>
      </c>
      <c r="R10" s="222">
        <f t="shared" ref="R10:R17" si="0">P10+Q10</f>
        <v>1530</v>
      </c>
      <c r="S10" s="181"/>
      <c r="T10" s="134"/>
    </row>
    <row r="11" spans="1:20" s="1" customFormat="1" ht="22.5" customHeight="1">
      <c r="A11" s="92"/>
      <c r="B11" s="1" t="s">
        <v>161</v>
      </c>
      <c r="C11" s="24"/>
      <c r="D11" s="25"/>
      <c r="E11" s="36"/>
      <c r="F11" s="10"/>
      <c r="G11" s="192"/>
      <c r="H11" s="7"/>
      <c r="I11" s="8"/>
      <c r="J11" s="7"/>
      <c r="K11" s="9"/>
      <c r="L11" s="5"/>
      <c r="M11" s="88"/>
      <c r="N11" s="136"/>
      <c r="O11" s="135"/>
      <c r="P11" s="135">
        <v>1490</v>
      </c>
      <c r="Q11" s="213">
        <v>250</v>
      </c>
      <c r="R11" s="222">
        <f t="shared" si="0"/>
        <v>1740</v>
      </c>
      <c r="S11" s="181"/>
      <c r="T11" s="134"/>
    </row>
    <row r="12" spans="1:20" s="1" customFormat="1" ht="22.5" customHeight="1">
      <c r="A12" s="92"/>
      <c r="B12" s="1" t="s">
        <v>162</v>
      </c>
      <c r="C12" s="24"/>
      <c r="D12" s="25"/>
      <c r="E12" s="36"/>
      <c r="F12" s="10"/>
      <c r="G12" s="192"/>
      <c r="H12" s="7"/>
      <c r="I12" s="8"/>
      <c r="J12" s="7"/>
      <c r="K12" s="9"/>
      <c r="L12" s="5"/>
      <c r="M12" s="88"/>
      <c r="N12" s="136"/>
      <c r="O12" s="135"/>
      <c r="P12" s="135">
        <f>2*1490</f>
        <v>2980</v>
      </c>
      <c r="Q12" s="213">
        <f>2*250</f>
        <v>500</v>
      </c>
      <c r="R12" s="222">
        <f t="shared" si="0"/>
        <v>3480</v>
      </c>
      <c r="S12" s="181"/>
      <c r="T12" s="134"/>
    </row>
    <row r="13" spans="1:20" s="1" customFormat="1" ht="22.5" customHeight="1">
      <c r="A13" s="203">
        <v>2</v>
      </c>
      <c r="B13" s="787" t="s">
        <v>97</v>
      </c>
      <c r="C13" s="788" t="s">
        <v>97</v>
      </c>
      <c r="D13" s="789" t="s">
        <v>97</v>
      </c>
      <c r="E13" s="194">
        <v>1</v>
      </c>
      <c r="F13" s="195" t="s">
        <v>49</v>
      </c>
      <c r="G13" s="196">
        <f t="shared" ref="G13" si="1">AVERAGE(N13,S13:T13)</f>
        <v>92233.333333333328</v>
      </c>
      <c r="H13" s="197">
        <f>E13*G13</f>
        <v>92233.333333333328</v>
      </c>
      <c r="I13" s="204"/>
      <c r="J13" s="197"/>
      <c r="K13" s="199">
        <f>H13+J13</f>
        <v>92233.333333333328</v>
      </c>
      <c r="L13" s="205"/>
      <c r="M13" s="200"/>
      <c r="N13" s="210">
        <f>61500+24000</f>
        <v>85500</v>
      </c>
      <c r="O13" s="214"/>
      <c r="P13" s="215"/>
      <c r="Q13" s="216"/>
      <c r="R13" s="220">
        <f>SUM(R14:R16)</f>
        <v>137000</v>
      </c>
      <c r="S13" s="221">
        <f>S14+S16</f>
        <v>90000</v>
      </c>
      <c r="T13" s="228">
        <f>T14+T16</f>
        <v>101200</v>
      </c>
    </row>
    <row r="14" spans="1:20" s="1" customFormat="1" ht="22.5" customHeight="1">
      <c r="A14" s="92"/>
      <c r="B14" s="1" t="s">
        <v>179</v>
      </c>
      <c r="C14" s="162"/>
      <c r="D14" s="164"/>
      <c r="E14" s="36"/>
      <c r="F14" s="10"/>
      <c r="G14" s="11"/>
      <c r="H14" s="7"/>
      <c r="I14" s="8"/>
      <c r="J14" s="7"/>
      <c r="K14" s="9"/>
      <c r="L14" s="5"/>
      <c r="M14" s="88"/>
      <c r="N14" s="136"/>
      <c r="O14" s="217"/>
      <c r="P14" s="152">
        <f>2000*14</f>
        <v>28000</v>
      </c>
      <c r="Q14" s="213">
        <f>800*14</f>
        <v>11200</v>
      </c>
      <c r="R14" s="222">
        <f t="shared" si="0"/>
        <v>39200</v>
      </c>
      <c r="S14" s="181">
        <v>49500</v>
      </c>
      <c r="T14" s="134">
        <v>53000</v>
      </c>
    </row>
    <row r="15" spans="1:20" s="1" customFormat="1" ht="22.5" customHeight="1">
      <c r="A15" s="92"/>
      <c r="B15" s="1" t="s">
        <v>163</v>
      </c>
      <c r="C15" s="162"/>
      <c r="D15" s="164"/>
      <c r="E15" s="36"/>
      <c r="F15" s="10"/>
      <c r="G15" s="11"/>
      <c r="H15" s="7"/>
      <c r="I15" s="8"/>
      <c r="J15" s="7"/>
      <c r="K15" s="9"/>
      <c r="L15" s="5"/>
      <c r="M15" s="88"/>
      <c r="N15" s="136"/>
      <c r="O15" s="217"/>
      <c r="P15" s="152">
        <f>2*26700</f>
        <v>53400</v>
      </c>
      <c r="Q15" s="213">
        <f>2*1150</f>
        <v>2300</v>
      </c>
      <c r="R15" s="222">
        <f t="shared" si="0"/>
        <v>55700</v>
      </c>
      <c r="S15" s="181"/>
      <c r="T15" s="134"/>
    </row>
    <row r="16" spans="1:20" s="1" customFormat="1" ht="22.5" customHeight="1">
      <c r="A16" s="84"/>
      <c r="B16" s="790" t="s">
        <v>95</v>
      </c>
      <c r="C16" s="791" t="s">
        <v>95</v>
      </c>
      <c r="D16" s="792" t="s">
        <v>95</v>
      </c>
      <c r="E16" s="36"/>
      <c r="F16" s="10"/>
      <c r="G16" s="11"/>
      <c r="H16" s="7"/>
      <c r="I16" s="8"/>
      <c r="J16" s="7"/>
      <c r="K16" s="9"/>
      <c r="L16" s="5"/>
      <c r="M16" s="87"/>
      <c r="N16" s="136"/>
      <c r="O16" s="217"/>
      <c r="P16" s="152">
        <f>26700</f>
        <v>26700</v>
      </c>
      <c r="Q16" s="213">
        <f>15400</f>
        <v>15400</v>
      </c>
      <c r="R16" s="222">
        <f t="shared" si="0"/>
        <v>42100</v>
      </c>
      <c r="S16" s="181">
        <v>40500</v>
      </c>
      <c r="T16" s="134">
        <v>48200</v>
      </c>
    </row>
    <row r="17" spans="1:20" s="1" customFormat="1" ht="22.5" customHeight="1">
      <c r="A17" s="206">
        <v>4</v>
      </c>
      <c r="B17" s="787" t="s">
        <v>164</v>
      </c>
      <c r="C17" s="788" t="s">
        <v>96</v>
      </c>
      <c r="D17" s="789" t="s">
        <v>96</v>
      </c>
      <c r="E17" s="194">
        <v>1</v>
      </c>
      <c r="F17" s="195" t="s">
        <v>49</v>
      </c>
      <c r="G17" s="196">
        <f>750*15.3</f>
        <v>11475</v>
      </c>
      <c r="H17" s="197">
        <f t="shared" ref="H17" si="2">E17*G17</f>
        <v>11475</v>
      </c>
      <c r="I17" s="207"/>
      <c r="J17" s="197"/>
      <c r="K17" s="199">
        <f t="shared" ref="K17" si="3">H17+J17</f>
        <v>11475</v>
      </c>
      <c r="L17" s="208"/>
      <c r="M17" s="263" t="s">
        <v>180</v>
      </c>
      <c r="N17" s="210">
        <v>22000</v>
      </c>
      <c r="O17" s="214"/>
      <c r="P17" s="215">
        <f>930*15.3</f>
        <v>14229</v>
      </c>
      <c r="Q17" s="216">
        <f>500*15.3</f>
        <v>7650</v>
      </c>
      <c r="R17" s="220">
        <f t="shared" si="0"/>
        <v>21879</v>
      </c>
      <c r="S17" s="223">
        <f>2000*15.3</f>
        <v>30600</v>
      </c>
      <c r="T17" s="229">
        <f>2100*8</f>
        <v>16800</v>
      </c>
    </row>
    <row r="18" spans="1:20" s="1" customFormat="1" ht="22.5" customHeight="1">
      <c r="A18" s="84">
        <v>5</v>
      </c>
      <c r="B18" s="179" t="s">
        <v>141</v>
      </c>
      <c r="C18" s="115"/>
      <c r="D18" s="116"/>
      <c r="E18" s="36"/>
      <c r="F18" s="10"/>
      <c r="G18" s="6"/>
      <c r="H18" s="7"/>
      <c r="I18" s="8"/>
      <c r="J18" s="7"/>
      <c r="K18" s="9"/>
      <c r="L18" s="5"/>
      <c r="M18" s="88"/>
      <c r="N18" s="134"/>
      <c r="O18" s="217"/>
      <c r="P18" s="152"/>
      <c r="Q18" s="213"/>
      <c r="R18" s="222"/>
      <c r="S18" s="181"/>
      <c r="T18" s="134"/>
    </row>
    <row r="19" spans="1:20" s="1" customFormat="1" ht="18.75" customHeight="1">
      <c r="A19" s="84"/>
      <c r="B19" s="179" t="s">
        <v>142</v>
      </c>
      <c r="C19" s="115"/>
      <c r="D19" s="116"/>
      <c r="E19" s="36"/>
      <c r="F19" s="10"/>
      <c r="G19" s="11"/>
      <c r="H19" s="7"/>
      <c r="I19" s="8"/>
      <c r="J19" s="7"/>
      <c r="K19" s="9"/>
      <c r="L19" s="5"/>
      <c r="M19" s="88"/>
      <c r="N19" s="134"/>
      <c r="O19" s="217"/>
      <c r="P19" s="152">
        <v>15000</v>
      </c>
      <c r="Q19" s="213"/>
      <c r="R19" s="222">
        <f>P19+Q19</f>
        <v>15000</v>
      </c>
      <c r="S19" s="181"/>
      <c r="T19" s="134"/>
    </row>
    <row r="20" spans="1:20" s="1" customFormat="1" ht="18.75" customHeight="1">
      <c r="A20" s="84"/>
      <c r="B20" s="179" t="s">
        <v>143</v>
      </c>
      <c r="C20" s="115"/>
      <c r="D20" s="116"/>
      <c r="E20" s="36"/>
      <c r="F20" s="10"/>
      <c r="G20" s="11"/>
      <c r="H20" s="7"/>
      <c r="I20" s="16"/>
      <c r="J20" s="7"/>
      <c r="K20" s="9"/>
      <c r="L20" s="17"/>
      <c r="M20" s="88"/>
      <c r="N20" s="134"/>
      <c r="O20" s="217"/>
      <c r="P20" s="152">
        <v>6000</v>
      </c>
      <c r="Q20" s="213">
        <v>19000</v>
      </c>
      <c r="R20" s="222">
        <f t="shared" ref="R20:R21" si="4">P20+Q20</f>
        <v>25000</v>
      </c>
      <c r="S20" s="181"/>
      <c r="T20" s="134"/>
    </row>
    <row r="21" spans="1:20" s="1" customFormat="1" ht="18.75" customHeight="1">
      <c r="A21" s="84"/>
      <c r="B21" s="180" t="s">
        <v>144</v>
      </c>
      <c r="C21" s="115"/>
      <c r="D21" s="116"/>
      <c r="E21" s="36"/>
      <c r="F21" s="10"/>
      <c r="G21" s="6"/>
      <c r="H21" s="7"/>
      <c r="I21" s="8"/>
      <c r="J21" s="7"/>
      <c r="K21" s="9"/>
      <c r="L21" s="5"/>
      <c r="M21" s="88"/>
      <c r="N21" s="134"/>
      <c r="O21" s="217"/>
      <c r="P21" s="152"/>
      <c r="Q21" s="213">
        <v>55000</v>
      </c>
      <c r="R21" s="222">
        <f t="shared" si="4"/>
        <v>55000</v>
      </c>
      <c r="S21" s="181"/>
      <c r="T21" s="134"/>
    </row>
    <row r="22" spans="1:20" s="1" customFormat="1" ht="18.75" customHeight="1" thickBot="1">
      <c r="A22" s="86"/>
      <c r="B22" s="759"/>
      <c r="C22" s="760"/>
      <c r="D22" s="761"/>
      <c r="E22" s="36"/>
      <c r="F22" s="10"/>
      <c r="G22" s="11"/>
      <c r="H22" s="7"/>
      <c r="I22" s="19"/>
      <c r="J22" s="7"/>
      <c r="K22" s="18"/>
      <c r="L22" s="20"/>
      <c r="M22" s="88"/>
      <c r="N22" s="134"/>
      <c r="O22" s="217"/>
      <c r="P22" s="126"/>
      <c r="Q22" s="217"/>
      <c r="R22" s="224"/>
      <c r="S22" s="181"/>
      <c r="T22" s="134"/>
    </row>
    <row r="23" spans="1:20" s="2" customFormat="1" ht="22.5" customHeight="1" thickTop="1" thickBot="1">
      <c r="A23" s="752" t="s">
        <v>14</v>
      </c>
      <c r="B23" s="753"/>
      <c r="C23" s="753"/>
      <c r="D23" s="753"/>
      <c r="E23" s="753"/>
      <c r="F23" s="753"/>
      <c r="G23" s="754"/>
      <c r="H23" s="12">
        <f>SUM(H7:H22)</f>
        <v>113758.33333333333</v>
      </c>
      <c r="I23" s="12"/>
      <c r="J23" s="12">
        <f>SUM(J7:J22)</f>
        <v>0</v>
      </c>
      <c r="K23" s="12">
        <f>SUM(K7:K22)</f>
        <v>113758.33333333333</v>
      </c>
      <c r="L23" s="13"/>
      <c r="M23" s="103"/>
      <c r="N23" s="225">
        <f>N8+N13+N17</f>
        <v>117500</v>
      </c>
      <c r="O23" s="225">
        <v>200000</v>
      </c>
      <c r="P23" s="225"/>
      <c r="Q23" s="226"/>
      <c r="R23" s="225">
        <f>R8+R13+R17+R19+R20+R21</f>
        <v>266069</v>
      </c>
      <c r="S23" s="225">
        <f>S8+S13+S17+S19+S20+S21</f>
        <v>130350</v>
      </c>
      <c r="T23" s="225">
        <f>T8+T13+T17+T19+T20+T21</f>
        <v>128400</v>
      </c>
    </row>
    <row r="24" spans="1:20" s="1" customFormat="1" ht="22.5" customHeight="1" thickTop="1">
      <c r="A24" s="78"/>
      <c r="B24" s="78"/>
      <c r="C24" s="78"/>
      <c r="D24" s="78"/>
      <c r="E24" s="3"/>
      <c r="F24" s="3"/>
      <c r="G24" s="3"/>
      <c r="H24" s="35"/>
      <c r="I24" s="35"/>
      <c r="J24" s="35"/>
      <c r="K24" s="35"/>
      <c r="L24" s="3"/>
    </row>
    <row r="25" spans="1:20" s="1" customFormat="1" ht="22.5" customHeight="1">
      <c r="A25" s="78"/>
      <c r="B25" s="78"/>
      <c r="C25" s="78"/>
      <c r="D25" s="79"/>
      <c r="E25" s="79"/>
      <c r="F25" s="79"/>
      <c r="G25" s="79"/>
      <c r="H25" s="751"/>
      <c r="I25" s="751"/>
      <c r="J25" s="751"/>
      <c r="K25" s="751"/>
      <c r="L25" s="3"/>
      <c r="N25" s="93"/>
      <c r="O25" s="22"/>
      <c r="Q25" s="22"/>
    </row>
  </sheetData>
  <mergeCells count="23">
    <mergeCell ref="N4:O4"/>
    <mergeCell ref="P4:R4"/>
    <mergeCell ref="E5:E6"/>
    <mergeCell ref="F5:F6"/>
    <mergeCell ref="G5:H5"/>
    <mergeCell ref="L5:L6"/>
    <mergeCell ref="P5:R5"/>
    <mergeCell ref="A5:A6"/>
    <mergeCell ref="B5:D6"/>
    <mergeCell ref="I5:J5"/>
    <mergeCell ref="K5:K6"/>
    <mergeCell ref="H25:K25"/>
    <mergeCell ref="B8:D8"/>
    <mergeCell ref="B17:D17"/>
    <mergeCell ref="B22:D22"/>
    <mergeCell ref="A23:G23"/>
    <mergeCell ref="B16:D16"/>
    <mergeCell ref="B13:D13"/>
    <mergeCell ref="A1:L1"/>
    <mergeCell ref="A3:C3"/>
    <mergeCell ref="A4:C4"/>
    <mergeCell ref="D4:G4"/>
    <mergeCell ref="H4:I4"/>
  </mergeCells>
  <hyperlinks>
    <hyperlink ref="O7" r:id="rId1" xr:uid="{00000000-0004-0000-0700-000000000000}"/>
    <hyperlink ref="R7" r:id="rId2" xr:uid="{00000000-0004-0000-0700-000001000000}"/>
    <hyperlink ref="S7" r:id="rId3" xr:uid="{00000000-0004-0000-0700-000002000000}"/>
    <hyperlink ref="T7" r:id="rId4" xr:uid="{00000000-0004-0000-0700-000003000000}"/>
    <hyperlink ref="M17" r:id="rId5" xr:uid="{00000000-0004-0000-0700-000004000000}"/>
  </hyperlinks>
  <pageMargins left="0.3" right="0" top="0.55118110236220497" bottom="0.15748031496063" header="0.196850393700787" footer="0.196850393700787"/>
  <pageSetup paperSize="9" scale="73" fitToWidth="0" orientation="portrait" horizontalDpi="300" verticalDpi="300" r:id="rId6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V31"/>
  <sheetViews>
    <sheetView zoomScale="90" zoomScaleNormal="90" workbookViewId="0">
      <selection activeCell="A7" sqref="A7:T19"/>
    </sheetView>
  </sheetViews>
  <sheetFormatPr defaultRowHeight="18"/>
  <cols>
    <col min="1" max="1" width="9.7109375" style="232" customWidth="1"/>
    <col min="2" max="2" width="9.140625" style="68" customWidth="1"/>
    <col min="3" max="3" width="9.7109375" style="68" customWidth="1"/>
    <col min="4" max="4" width="37.7109375" style="68" customWidth="1"/>
    <col min="5" max="6" width="8.7109375" style="68" customWidth="1"/>
    <col min="7" max="7" width="15.85546875" style="68" customWidth="1"/>
    <col min="8" max="8" width="16.28515625" style="68" customWidth="1"/>
    <col min="9" max="9" width="13.7109375" style="68" customWidth="1"/>
    <col min="10" max="10" width="12.28515625" style="68" customWidth="1"/>
    <col min="11" max="11" width="15" style="68" customWidth="1"/>
    <col min="12" max="12" width="14.140625" style="68" customWidth="1"/>
    <col min="13" max="13" width="10" style="68" customWidth="1"/>
    <col min="14" max="14" width="16" customWidth="1"/>
    <col min="15" max="15" width="16" style="97" customWidth="1"/>
    <col min="16" max="16" width="11.42578125" style="102" customWidth="1"/>
    <col min="17" max="17" width="14.5703125" bestFit="1" customWidth="1"/>
    <col min="18" max="18" width="13.140625" style="102" customWidth="1"/>
    <col min="19" max="19" width="16" bestFit="1" customWidth="1"/>
    <col min="20" max="20" width="15.140625" customWidth="1"/>
    <col min="22" max="22" width="14.5703125" bestFit="1" customWidth="1"/>
  </cols>
  <sheetData>
    <row r="1" spans="1:22" s="1" customFormat="1" ht="22.5" customHeight="1">
      <c r="A1" s="782" t="s">
        <v>23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161"/>
      <c r="N1" s="22"/>
      <c r="O1" s="93"/>
      <c r="P1" s="22"/>
      <c r="R1" s="22"/>
    </row>
    <row r="2" spans="1:22" s="75" customFormat="1" ht="22.5" customHeight="1">
      <c r="A2" s="89" t="s">
        <v>33</v>
      </c>
      <c r="B2" s="89"/>
      <c r="C2" s="67"/>
      <c r="D2" s="67" t="s">
        <v>99</v>
      </c>
      <c r="E2" s="90"/>
      <c r="G2" s="91"/>
      <c r="H2" s="78"/>
      <c r="I2" s="67"/>
      <c r="J2" s="67"/>
      <c r="K2" s="67"/>
      <c r="L2" s="67"/>
      <c r="M2" s="67"/>
      <c r="O2" s="94"/>
      <c r="P2" s="100"/>
      <c r="R2" s="100"/>
    </row>
    <row r="3" spans="1:22" s="75" customFormat="1" ht="22.5" customHeight="1">
      <c r="A3" s="783" t="s">
        <v>0</v>
      </c>
      <c r="B3" s="783"/>
      <c r="C3" s="783"/>
      <c r="D3" s="75" t="s">
        <v>48</v>
      </c>
      <c r="I3" s="89"/>
      <c r="O3" s="95"/>
      <c r="P3" s="100"/>
      <c r="R3" s="100"/>
    </row>
    <row r="4" spans="1:22" s="75" customFormat="1" ht="22.5" customHeight="1" thickBot="1">
      <c r="A4" s="784" t="s">
        <v>7</v>
      </c>
      <c r="B4" s="784"/>
      <c r="C4" s="784"/>
      <c r="D4" s="785" t="s">
        <v>138</v>
      </c>
      <c r="E4" s="785"/>
      <c r="F4" s="785"/>
      <c r="G4" s="785"/>
      <c r="H4" s="786"/>
      <c r="I4" s="786"/>
      <c r="J4" s="121"/>
      <c r="K4" s="121"/>
      <c r="L4" s="121"/>
      <c r="M4" s="233"/>
      <c r="N4" s="793"/>
      <c r="O4" s="794"/>
      <c r="P4" s="794"/>
      <c r="Q4" s="794"/>
      <c r="R4" s="794"/>
      <c r="S4" s="794"/>
      <c r="T4" s="795"/>
    </row>
    <row r="5" spans="1:22" s="1" customFormat="1" ht="22.5" customHeight="1" thickTop="1">
      <c r="A5" s="766" t="s">
        <v>3</v>
      </c>
      <c r="B5" s="768" t="s">
        <v>4</v>
      </c>
      <c r="C5" s="769"/>
      <c r="D5" s="769"/>
      <c r="E5" s="772" t="s">
        <v>11</v>
      </c>
      <c r="F5" s="774" t="s">
        <v>13</v>
      </c>
      <c r="G5" s="776" t="s">
        <v>18</v>
      </c>
      <c r="H5" s="777"/>
      <c r="I5" s="776" t="s">
        <v>15</v>
      </c>
      <c r="J5" s="777"/>
      <c r="K5" s="778" t="s">
        <v>17</v>
      </c>
      <c r="L5" s="766" t="s">
        <v>5</v>
      </c>
      <c r="M5" s="163"/>
      <c r="N5" s="145" t="s">
        <v>109</v>
      </c>
      <c r="O5" s="146" t="s">
        <v>110</v>
      </c>
      <c r="P5" s="755" t="s">
        <v>121</v>
      </c>
      <c r="Q5" s="755"/>
      <c r="R5" s="755"/>
      <c r="S5" s="146" t="s">
        <v>132</v>
      </c>
      <c r="T5" s="146" t="s">
        <v>149</v>
      </c>
    </row>
    <row r="6" spans="1:22" s="1" customFormat="1" ht="33" customHeight="1" thickBot="1">
      <c r="A6" s="767"/>
      <c r="B6" s="770"/>
      <c r="C6" s="771"/>
      <c r="D6" s="771"/>
      <c r="E6" s="773"/>
      <c r="F6" s="775"/>
      <c r="G6" s="4" t="s">
        <v>24</v>
      </c>
      <c r="H6" s="4" t="s">
        <v>16</v>
      </c>
      <c r="I6" s="4" t="s">
        <v>24</v>
      </c>
      <c r="J6" s="4" t="s">
        <v>16</v>
      </c>
      <c r="K6" s="779"/>
      <c r="L6" s="767"/>
      <c r="M6" s="163"/>
      <c r="N6" s="146" t="s">
        <v>152</v>
      </c>
      <c r="O6" s="146" t="s">
        <v>152</v>
      </c>
      <c r="P6" s="165" t="s">
        <v>150</v>
      </c>
      <c r="Q6" s="165" t="s">
        <v>151</v>
      </c>
      <c r="R6" s="165" t="s">
        <v>152</v>
      </c>
      <c r="S6" s="146" t="s">
        <v>152</v>
      </c>
      <c r="T6" s="146" t="s">
        <v>152</v>
      </c>
    </row>
    <row r="7" spans="1:22" s="1" customFormat="1" ht="22.5" customHeight="1" thickTop="1">
      <c r="A7" s="84"/>
      <c r="B7" s="166" t="s">
        <v>91</v>
      </c>
      <c r="C7" s="167"/>
      <c r="D7" s="168"/>
      <c r="E7" s="36"/>
      <c r="F7" s="10"/>
      <c r="G7" s="11"/>
      <c r="H7" s="7"/>
      <c r="I7" s="8"/>
      <c r="J7" s="7"/>
      <c r="K7" s="9"/>
      <c r="L7" s="5"/>
      <c r="M7" s="76"/>
      <c r="N7" s="93"/>
      <c r="O7" s="261" t="s">
        <v>134</v>
      </c>
      <c r="Q7" s="99"/>
      <c r="R7" s="261" t="s">
        <v>135</v>
      </c>
      <c r="S7" s="261" t="s">
        <v>147</v>
      </c>
      <c r="T7" s="262" t="s">
        <v>148</v>
      </c>
    </row>
    <row r="8" spans="1:22" s="1" customFormat="1" ht="22.5" customHeight="1">
      <c r="A8" s="193">
        <v>1</v>
      </c>
      <c r="B8" s="787" t="s">
        <v>55</v>
      </c>
      <c r="C8" s="788" t="s">
        <v>55</v>
      </c>
      <c r="D8" s="789" t="s">
        <v>55</v>
      </c>
      <c r="E8" s="194">
        <v>1</v>
      </c>
      <c r="F8" s="195" t="s">
        <v>49</v>
      </c>
      <c r="G8" s="196">
        <f>AVERAGE(S8:T8,N8)</f>
        <v>16366.666666666666</v>
      </c>
      <c r="H8" s="197">
        <f>E8*G8</f>
        <v>16366.666666666666</v>
      </c>
      <c r="I8" s="198"/>
      <c r="J8" s="197"/>
      <c r="K8" s="199">
        <f>H8+J8</f>
        <v>16366.666666666666</v>
      </c>
      <c r="L8" s="195"/>
      <c r="M8" s="234"/>
      <c r="N8" s="196">
        <v>16000</v>
      </c>
      <c r="O8" s="236"/>
      <c r="P8" s="246"/>
      <c r="Q8" s="246"/>
      <c r="R8" s="247">
        <f>R9+R10+R11</f>
        <v>21100</v>
      </c>
      <c r="S8" s="247">
        <v>16000</v>
      </c>
      <c r="T8" s="212">
        <v>17100</v>
      </c>
      <c r="V8" s="87"/>
    </row>
    <row r="9" spans="1:22" s="1" customFormat="1" ht="22.5" customHeight="1">
      <c r="A9" s="92"/>
      <c r="B9" s="15" t="s">
        <v>169</v>
      </c>
      <c r="C9" s="162"/>
      <c r="D9" s="164"/>
      <c r="E9" s="36"/>
      <c r="F9" s="10"/>
      <c r="G9" s="192"/>
      <c r="H9" s="7"/>
      <c r="I9" s="8"/>
      <c r="J9" s="7"/>
      <c r="K9" s="9"/>
      <c r="L9" s="5"/>
      <c r="M9" s="76"/>
      <c r="N9" s="11"/>
      <c r="O9" s="133"/>
      <c r="P9" s="248">
        <v>4670</v>
      </c>
      <c r="Q9" s="248">
        <v>770</v>
      </c>
      <c r="R9" s="249">
        <f>P9+Q9</f>
        <v>5440</v>
      </c>
      <c r="S9" s="249"/>
      <c r="T9" s="209"/>
    </row>
    <row r="10" spans="1:22" s="1" customFormat="1" ht="22.5" customHeight="1">
      <c r="A10" s="92"/>
      <c r="B10" s="23" t="s">
        <v>165</v>
      </c>
      <c r="C10" s="162"/>
      <c r="D10" s="164"/>
      <c r="E10" s="36"/>
      <c r="F10" s="10"/>
      <c r="G10" s="192"/>
      <c r="H10" s="7"/>
      <c r="I10" s="8"/>
      <c r="J10" s="7"/>
      <c r="K10" s="9"/>
      <c r="L10" s="5"/>
      <c r="M10" s="76"/>
      <c r="N10" s="11"/>
      <c r="O10" s="133"/>
      <c r="P10" s="248">
        <f>1490*3</f>
        <v>4470</v>
      </c>
      <c r="Q10" s="248">
        <f>250*3</f>
        <v>750</v>
      </c>
      <c r="R10" s="249">
        <f t="shared" ref="R10:R11" si="0">P10+Q10</f>
        <v>5220</v>
      </c>
      <c r="S10" s="249"/>
      <c r="T10" s="209"/>
    </row>
    <row r="11" spans="1:22" s="1" customFormat="1" ht="22.5" customHeight="1">
      <c r="A11" s="92"/>
      <c r="B11" s="23" t="s">
        <v>174</v>
      </c>
      <c r="C11" s="162"/>
      <c r="D11" s="230"/>
      <c r="E11" s="36"/>
      <c r="F11" s="10"/>
      <c r="G11" s="192"/>
      <c r="H11" s="7"/>
      <c r="I11" s="8"/>
      <c r="J11" s="7"/>
      <c r="K11" s="9"/>
      <c r="L11" s="5"/>
      <c r="M11" s="76"/>
      <c r="N11" s="11"/>
      <c r="O11" s="133"/>
      <c r="P11" s="248">
        <f>1490*6</f>
        <v>8940</v>
      </c>
      <c r="Q11" s="248">
        <f>250*6</f>
        <v>1500</v>
      </c>
      <c r="R11" s="249">
        <f t="shared" si="0"/>
        <v>10440</v>
      </c>
      <c r="S11" s="249"/>
      <c r="T11" s="209"/>
    </row>
    <row r="12" spans="1:22" s="1" customFormat="1" ht="22.5" customHeight="1">
      <c r="A12" s="206">
        <v>2</v>
      </c>
      <c r="B12" s="787" t="s">
        <v>95</v>
      </c>
      <c r="C12" s="788"/>
      <c r="D12" s="789"/>
      <c r="E12" s="194">
        <v>1</v>
      </c>
      <c r="F12" s="195" t="s">
        <v>49</v>
      </c>
      <c r="G12" s="196">
        <f>AVERAGE(S12:T12,N12)</f>
        <v>39066.666666666664</v>
      </c>
      <c r="H12" s="197">
        <f>E12*G12</f>
        <v>39066.666666666664</v>
      </c>
      <c r="I12" s="204"/>
      <c r="J12" s="197"/>
      <c r="K12" s="199">
        <f>H12+J12</f>
        <v>39066.666666666664</v>
      </c>
      <c r="L12" s="205"/>
      <c r="M12" s="234"/>
      <c r="N12" s="196">
        <v>24000</v>
      </c>
      <c r="O12" s="227"/>
      <c r="P12" s="247">
        <v>26700</v>
      </c>
      <c r="Q12" s="250">
        <v>15400</v>
      </c>
      <c r="R12" s="247">
        <f>P12+Q12</f>
        <v>42100</v>
      </c>
      <c r="S12" s="247">
        <v>45000</v>
      </c>
      <c r="T12" s="212">
        <v>48200</v>
      </c>
    </row>
    <row r="13" spans="1:22" s="1" customFormat="1" ht="22.5" customHeight="1">
      <c r="A13" s="203">
        <v>3</v>
      </c>
      <c r="B13" s="187" t="s">
        <v>98</v>
      </c>
      <c r="C13" s="189"/>
      <c r="D13" s="190"/>
      <c r="E13" s="194">
        <v>1</v>
      </c>
      <c r="F13" s="195" t="s">
        <v>49</v>
      </c>
      <c r="G13" s="196">
        <f>AVERAGE(S13:T13,N13)</f>
        <v>33133.333333333336</v>
      </c>
      <c r="H13" s="197">
        <f>E13*G13</f>
        <v>33133.333333333336</v>
      </c>
      <c r="I13" s="204"/>
      <c r="J13" s="197"/>
      <c r="K13" s="199">
        <f>H13+J13</f>
        <v>33133.333333333336</v>
      </c>
      <c r="L13" s="205"/>
      <c r="M13" s="234"/>
      <c r="N13" s="196">
        <v>58000</v>
      </c>
      <c r="O13" s="201"/>
      <c r="P13" s="251"/>
      <c r="Q13" s="252"/>
      <c r="R13" s="247">
        <f>R14+R15+R16</f>
        <v>129540</v>
      </c>
      <c r="S13" s="247">
        <v>20000</v>
      </c>
      <c r="T13" s="212">
        <v>21400</v>
      </c>
    </row>
    <row r="14" spans="1:22" s="1" customFormat="1" ht="22.5" customHeight="1">
      <c r="A14" s="92"/>
      <c r="B14" s="15" t="s">
        <v>175</v>
      </c>
      <c r="C14" s="112"/>
      <c r="D14" s="113"/>
      <c r="E14" s="36"/>
      <c r="F14" s="10"/>
      <c r="G14" s="192"/>
      <c r="H14" s="7"/>
      <c r="I14" s="8"/>
      <c r="J14" s="7"/>
      <c r="K14" s="9"/>
      <c r="L14" s="5"/>
      <c r="M14" s="76"/>
      <c r="N14" s="11"/>
      <c r="O14" s="135"/>
      <c r="P14" s="253">
        <f>2670*2</f>
        <v>5340</v>
      </c>
      <c r="Q14" s="254">
        <f>4600*2</f>
        <v>9200</v>
      </c>
      <c r="R14" s="249">
        <f>P14+Q14</f>
        <v>14540</v>
      </c>
      <c r="S14" s="249"/>
      <c r="T14" s="209"/>
    </row>
    <row r="15" spans="1:22" ht="18.75">
      <c r="A15" s="26"/>
      <c r="B15" s="15" t="s">
        <v>167</v>
      </c>
      <c r="C15" s="15"/>
      <c r="D15" s="15"/>
      <c r="G15" s="192"/>
      <c r="N15" s="68"/>
      <c r="O15" s="237"/>
      <c r="P15" s="255">
        <v>26700</v>
      </c>
      <c r="Q15" s="256">
        <v>30800</v>
      </c>
      <c r="R15" s="249">
        <f t="shared" ref="R15:R16" si="1">P15+Q15</f>
        <v>57500</v>
      </c>
      <c r="S15" s="256"/>
      <c r="T15" s="122"/>
    </row>
    <row r="16" spans="1:22" ht="18.75">
      <c r="A16" s="26"/>
      <c r="B16" s="15" t="s">
        <v>145</v>
      </c>
      <c r="C16" s="15"/>
      <c r="D16" s="15"/>
      <c r="G16" s="192"/>
      <c r="N16" s="68"/>
      <c r="O16" s="237"/>
      <c r="P16" s="255">
        <v>26700</v>
      </c>
      <c r="Q16" s="256">
        <v>30800</v>
      </c>
      <c r="R16" s="249">
        <f t="shared" si="1"/>
        <v>57500</v>
      </c>
      <c r="S16" s="256"/>
      <c r="T16" s="122"/>
    </row>
    <row r="17" spans="1:20" s="1" customFormat="1" ht="22.5" customHeight="1">
      <c r="A17" s="206">
        <v>4</v>
      </c>
      <c r="B17" s="787" t="s">
        <v>168</v>
      </c>
      <c r="C17" s="788" t="s">
        <v>96</v>
      </c>
      <c r="D17" s="789" t="s">
        <v>96</v>
      </c>
      <c r="E17" s="194">
        <v>1</v>
      </c>
      <c r="F17" s="195" t="s">
        <v>49</v>
      </c>
      <c r="G17" s="196">
        <f>750*25.48</f>
        <v>19110</v>
      </c>
      <c r="H17" s="197">
        <f t="shared" ref="H17" si="2">E17*G17</f>
        <v>19110</v>
      </c>
      <c r="I17" s="207"/>
      <c r="J17" s="197"/>
      <c r="K17" s="199">
        <f t="shared" ref="K17" si="3">H17+J17</f>
        <v>19110</v>
      </c>
      <c r="L17" s="208"/>
      <c r="M17" s="263" t="s">
        <v>180</v>
      </c>
      <c r="N17" s="196">
        <v>37000</v>
      </c>
      <c r="O17" s="227"/>
      <c r="P17" s="247">
        <f>930*25.48</f>
        <v>23696.400000000001</v>
      </c>
      <c r="Q17" s="247">
        <f>500*25.48</f>
        <v>12740</v>
      </c>
      <c r="R17" s="247">
        <f>P17+Q17</f>
        <v>36436.400000000001</v>
      </c>
      <c r="S17" s="247">
        <f>2000*25.48</f>
        <v>50960</v>
      </c>
      <c r="T17" s="212">
        <v>53508</v>
      </c>
    </row>
    <row r="18" spans="1:20" s="1" customFormat="1" ht="22.5" customHeight="1">
      <c r="A18" s="84">
        <v>5</v>
      </c>
      <c r="B18" s="114" t="s">
        <v>170</v>
      </c>
      <c r="C18" s="115"/>
      <c r="D18" s="116"/>
      <c r="E18" s="36"/>
      <c r="F18" s="10"/>
      <c r="G18" s="6"/>
      <c r="H18" s="7"/>
      <c r="I18" s="8"/>
      <c r="J18" s="7"/>
      <c r="K18" s="9"/>
      <c r="L18" s="5"/>
      <c r="M18" s="76"/>
      <c r="N18" s="209"/>
      <c r="O18" s="171"/>
      <c r="P18" s="249">
        <f>2*20000</f>
        <v>40000</v>
      </c>
      <c r="Q18" s="191">
        <f>7700*2</f>
        <v>15400</v>
      </c>
      <c r="R18" s="249">
        <f>P18+Q18</f>
        <v>55400</v>
      </c>
      <c r="S18" s="217"/>
      <c r="T18" s="209"/>
    </row>
    <row r="19" spans="1:20" s="1" customFormat="1" ht="18.75" customHeight="1">
      <c r="A19" s="84"/>
      <c r="B19" s="184" t="s">
        <v>139</v>
      </c>
      <c r="C19" s="185"/>
      <c r="D19" s="186"/>
      <c r="E19" s="36"/>
      <c r="F19" s="10"/>
      <c r="G19" s="11"/>
      <c r="H19" s="7"/>
      <c r="I19" s="8"/>
      <c r="J19" s="7"/>
      <c r="K19" s="9"/>
      <c r="L19" s="5"/>
      <c r="M19" s="76"/>
      <c r="N19" s="209"/>
      <c r="O19" s="171"/>
      <c r="P19" s="249"/>
      <c r="Q19" s="191"/>
      <c r="R19" s="249"/>
      <c r="S19" s="217"/>
      <c r="T19" s="209"/>
    </row>
    <row r="20" spans="1:20" s="1" customFormat="1" ht="18.75" customHeight="1">
      <c r="A20" s="84">
        <v>6</v>
      </c>
      <c r="B20" s="114" t="s">
        <v>141</v>
      </c>
      <c r="C20" s="115"/>
      <c r="D20" s="116"/>
      <c r="E20" s="36"/>
      <c r="F20" s="10"/>
      <c r="G20" s="11"/>
      <c r="H20" s="7"/>
      <c r="I20" s="16"/>
      <c r="J20" s="7"/>
      <c r="K20" s="9"/>
      <c r="L20" s="17"/>
      <c r="M20" s="98"/>
      <c r="N20" s="209"/>
      <c r="O20" s="171"/>
      <c r="P20" s="249"/>
      <c r="Q20" s="191"/>
      <c r="R20" s="249"/>
      <c r="S20" s="217"/>
      <c r="T20" s="209"/>
    </row>
    <row r="21" spans="1:20" s="1" customFormat="1" ht="18.75" customHeight="1">
      <c r="A21" s="84"/>
      <c r="B21" s="114" t="s">
        <v>142</v>
      </c>
      <c r="C21" s="115"/>
      <c r="D21" s="116"/>
      <c r="E21" s="36"/>
      <c r="F21" s="10"/>
      <c r="G21" s="6"/>
      <c r="H21" s="7"/>
      <c r="I21" s="8"/>
      <c r="J21" s="7"/>
      <c r="K21" s="9"/>
      <c r="L21" s="5"/>
      <c r="M21" s="76"/>
      <c r="N21" s="209"/>
      <c r="O21" s="171"/>
      <c r="P21" s="249">
        <v>2300</v>
      </c>
      <c r="Q21" s="191"/>
      <c r="R21" s="249">
        <f>P21+Q21</f>
        <v>2300</v>
      </c>
      <c r="S21" s="217"/>
      <c r="T21" s="209"/>
    </row>
    <row r="22" spans="1:20" s="1" customFormat="1" ht="18.75" customHeight="1">
      <c r="A22" s="86"/>
      <c r="B22" s="114" t="s">
        <v>143</v>
      </c>
      <c r="C22" s="115"/>
      <c r="D22" s="116"/>
      <c r="E22" s="36"/>
      <c r="F22" s="10"/>
      <c r="G22" s="11"/>
      <c r="H22" s="7"/>
      <c r="I22" s="19"/>
      <c r="J22" s="7"/>
      <c r="K22" s="18"/>
      <c r="L22" s="20"/>
      <c r="M22" s="98"/>
      <c r="N22" s="209"/>
      <c r="O22" s="171"/>
      <c r="P22" s="249">
        <v>13000</v>
      </c>
      <c r="Q22" s="191">
        <v>19000</v>
      </c>
      <c r="R22" s="249">
        <f t="shared" ref="R22:R23" si="4">P22+Q22</f>
        <v>32000</v>
      </c>
      <c r="S22" s="217"/>
      <c r="T22" s="209"/>
    </row>
    <row r="23" spans="1:20" s="1" customFormat="1" ht="18.75" customHeight="1" thickBot="1">
      <c r="A23" s="238"/>
      <c r="B23" s="75" t="s">
        <v>144</v>
      </c>
      <c r="C23" s="75"/>
      <c r="D23" s="75"/>
      <c r="E23" s="106"/>
      <c r="F23" s="76"/>
      <c r="G23" s="239"/>
      <c r="H23" s="240"/>
      <c r="I23" s="241"/>
      <c r="J23" s="240"/>
      <c r="K23" s="242"/>
      <c r="L23" s="243"/>
      <c r="M23" s="98"/>
      <c r="N23" s="209"/>
      <c r="O23" s="171"/>
      <c r="P23" s="249"/>
      <c r="Q23" s="191">
        <v>55000</v>
      </c>
      <c r="R23" s="249">
        <f t="shared" si="4"/>
        <v>55000</v>
      </c>
      <c r="S23" s="217"/>
      <c r="T23" s="209"/>
    </row>
    <row r="24" spans="1:20" s="2" customFormat="1" ht="22.5" customHeight="1" thickTop="1" thickBot="1">
      <c r="A24" s="752" t="s">
        <v>14</v>
      </c>
      <c r="B24" s="753"/>
      <c r="C24" s="753"/>
      <c r="D24" s="753"/>
      <c r="E24" s="753"/>
      <c r="F24" s="753"/>
      <c r="G24" s="754"/>
      <c r="H24" s="12">
        <f>SUM(H7:H22)</f>
        <v>107676.66666666666</v>
      </c>
      <c r="I24" s="12"/>
      <c r="J24" s="12">
        <f>SUM(J7:J22)</f>
        <v>0</v>
      </c>
      <c r="K24" s="12">
        <f>SUM(K7:K22)</f>
        <v>107676.66666666666</v>
      </c>
      <c r="L24" s="13"/>
      <c r="M24" s="3"/>
      <c r="N24" s="219">
        <f>N8+N12+N13+N17</f>
        <v>135000</v>
      </c>
      <c r="O24" s="219">
        <v>195000</v>
      </c>
      <c r="P24" s="257">
        <f>P8+P12+P13+P17</f>
        <v>50396.4</v>
      </c>
      <c r="Q24" s="257">
        <f>Q8+Q12+Q13+Q17</f>
        <v>28140</v>
      </c>
      <c r="R24" s="257">
        <f>R8+R18+R21+R22+R23+R12+R13+R17</f>
        <v>373876.4</v>
      </c>
      <c r="S24" s="219">
        <f>S8+S12+S13+S17</f>
        <v>131960</v>
      </c>
      <c r="T24" s="219">
        <f>T8+T12+T13+T17</f>
        <v>140208</v>
      </c>
    </row>
    <row r="25" spans="1:20" s="1" customFormat="1" ht="22.5" customHeight="1" thickTop="1">
      <c r="A25" s="78"/>
      <c r="B25" s="78"/>
      <c r="C25" s="78"/>
      <c r="D25" s="78"/>
      <c r="E25" s="3"/>
      <c r="F25" s="3"/>
      <c r="G25" s="3"/>
      <c r="H25" s="35"/>
      <c r="I25" s="35"/>
      <c r="J25" s="35"/>
      <c r="K25" s="35"/>
      <c r="L25" s="3"/>
      <c r="M25" s="3"/>
    </row>
    <row r="26" spans="1:20" s="1" customFormat="1" ht="22.5" customHeight="1">
      <c r="A26" s="78"/>
      <c r="B26" s="2"/>
      <c r="C26" s="78"/>
      <c r="D26" s="79"/>
      <c r="E26" s="79"/>
      <c r="F26" s="79"/>
      <c r="G26" s="79"/>
      <c r="H26" s="751"/>
      <c r="I26" s="751"/>
      <c r="J26" s="751"/>
      <c r="K26" s="751"/>
      <c r="L26" s="3"/>
      <c r="M26" s="3"/>
      <c r="O26" s="93"/>
      <c r="P26" s="22"/>
      <c r="R26" s="22"/>
    </row>
    <row r="27" spans="1:20" ht="18.75">
      <c r="B27" s="1"/>
    </row>
    <row r="28" spans="1:20" ht="18.75">
      <c r="B28" s="2"/>
    </row>
    <row r="29" spans="1:20" ht="18.75">
      <c r="B29" s="2"/>
    </row>
    <row r="30" spans="1:20" ht="18.75">
      <c r="B30" s="2"/>
    </row>
    <row r="31" spans="1:20" ht="18.75">
      <c r="B31" s="89"/>
    </row>
  </sheetData>
  <mergeCells count="20">
    <mergeCell ref="P5:R5"/>
    <mergeCell ref="N4:T4"/>
    <mergeCell ref="A1:L1"/>
    <mergeCell ref="A3:C3"/>
    <mergeCell ref="A4:C4"/>
    <mergeCell ref="D4:G4"/>
    <mergeCell ref="H4:I4"/>
    <mergeCell ref="A5:A6"/>
    <mergeCell ref="B5:D6"/>
    <mergeCell ref="E5:E6"/>
    <mergeCell ref="F5:F6"/>
    <mergeCell ref="G5:H5"/>
    <mergeCell ref="I5:J5"/>
    <mergeCell ref="K5:K6"/>
    <mergeCell ref="L5:L6"/>
    <mergeCell ref="B8:D8"/>
    <mergeCell ref="B17:D17"/>
    <mergeCell ref="B12:D12"/>
    <mergeCell ref="A24:G24"/>
    <mergeCell ref="H26:K26"/>
  </mergeCells>
  <hyperlinks>
    <hyperlink ref="O7" r:id="rId1" xr:uid="{00000000-0004-0000-0800-000000000000}"/>
    <hyperlink ref="R7" r:id="rId2" xr:uid="{00000000-0004-0000-0800-000001000000}"/>
    <hyperlink ref="S7" r:id="rId3" xr:uid="{00000000-0004-0000-0800-000002000000}"/>
    <hyperlink ref="T7" r:id="rId4" xr:uid="{00000000-0004-0000-0800-000003000000}"/>
    <hyperlink ref="M17" r:id="rId5" xr:uid="{00000000-0004-0000-0800-000004000000}"/>
  </hyperlinks>
  <pageMargins left="0.3" right="0" top="0.55118110236220497" bottom="0.15748031496063" header="0.196850393700787" footer="0.196850393700787"/>
  <pageSetup paperSize="9" scale="73" fitToWidth="0" orientation="landscape" horizontalDpi="300" verticalDpi="300" r:id="rId6"/>
  <headerFooter>
    <oddHeader>&amp;R&amp;"TH SarabunPSK,ธรรมดา"&amp;14แบบ ปร.4 (ก)</oddHeader>
    <oddFooter xml:space="preserve">&amp;R&amp;"TH SarabunPSK,ธรรมดา"&amp;14หน้าที่ 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18</vt:i4>
      </vt:variant>
    </vt:vector>
  </HeadingPairs>
  <TitlesOfParts>
    <vt:vector size="32" baseType="lpstr">
      <vt:lpstr>ปร.6 (รวม)</vt:lpstr>
      <vt:lpstr>ปร.5ก งานปรับปรุง</vt:lpstr>
      <vt:lpstr>ปร.5ข ครุภัณฑ์และจัดซื้อ </vt:lpstr>
      <vt:lpstr>ปร.4 งานครุภัณฑ์และจัดซื้อ</vt:lpstr>
      <vt:lpstr>ปร.4 ปรับปรุง </vt:lpstr>
      <vt:lpstr>ปร.4 งานครุภัณฑ์และจัดซื้อ  (3)</vt:lpstr>
      <vt:lpstr>ปร.4 ปรับปรุง ห้อง Radiolog (2)</vt:lpstr>
      <vt:lpstr>ปร.4 ปรับปรุง (Waste)</vt:lpstr>
      <vt:lpstr>ปร.4 ปรับปรุง (Radio-44)</vt:lpstr>
      <vt:lpstr>ปร.4 ปรับปรุง (Radio-42))</vt:lpstr>
      <vt:lpstr>ปร.4 ปรับปรุง (Cloth)</vt:lpstr>
      <vt:lpstr>ปร.4 งานครุภัณฑ์และจัดซื้อ (2)</vt:lpstr>
      <vt:lpstr>ปร.5หกหน้า</vt:lpstr>
      <vt:lpstr>ปร.6หกหน้า</vt:lpstr>
      <vt:lpstr>'ปร.4 งานครุภัณฑ์และจัดซื้อ'!_Hlk128645987</vt:lpstr>
      <vt:lpstr>'ปร.4 งานครุภัณฑ์และจัดซื้อ  (3)'!_Hlk128645987</vt:lpstr>
      <vt:lpstr>'ปร.4 งานครุภัณฑ์และจัดซื้อ'!Print_Area</vt:lpstr>
      <vt:lpstr>'ปร.4 งานครุภัณฑ์และจัดซื้อ  (3)'!Print_Area</vt:lpstr>
      <vt:lpstr>'ปร.4 ปรับปรุง '!Print_Area</vt:lpstr>
      <vt:lpstr>'ปร.4 ปรับปรุง (Cloth)'!Print_Area</vt:lpstr>
      <vt:lpstr>'ปร.4 ปรับปรุง (Radio-42))'!Print_Area</vt:lpstr>
      <vt:lpstr>'ปร.4 ปรับปรุง (Radio-44)'!Print_Area</vt:lpstr>
      <vt:lpstr>'ปร.4 ปรับปรุง (Waste)'!Print_Area</vt:lpstr>
      <vt:lpstr>'ปร.4 ปรับปรุง ห้อง Radiolog (2)'!Print_Area</vt:lpstr>
      <vt:lpstr>'ปร.5ก งานปรับปรุง'!Print_Area</vt:lpstr>
      <vt:lpstr>'ปร.5ข ครุภัณฑ์และจัดซื้อ '!Print_Area</vt:lpstr>
      <vt:lpstr>'ปร.6 (รวม)'!Print_Area</vt:lpstr>
      <vt:lpstr>'ปร.4 งานครุภัณฑ์และจัดซื้อ'!Print_Titles</vt:lpstr>
      <vt:lpstr>'ปร.4 งานครุภัณฑ์และจัดซื้อ  (3)'!Print_Titles</vt:lpstr>
      <vt:lpstr>'ปร.4 งานครุภัณฑ์และจัดซื้อ (2)'!Print_Titles</vt:lpstr>
      <vt:lpstr>'ปร.4 ปรับปรุง '!Print_Titles</vt:lpstr>
      <vt:lpstr>'ปร.5ก งานปรับปรุง'!Print_Titles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OAP64-021</cp:lastModifiedBy>
  <cp:lastPrinted>2023-07-21T04:07:04Z</cp:lastPrinted>
  <dcterms:created xsi:type="dcterms:W3CDTF">2012-02-29T01:43:10Z</dcterms:created>
  <dcterms:modified xsi:type="dcterms:W3CDTF">2023-08-09T09:46:58Z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009a6632-635f-4423-86a8-9638ffac0643</vt:lpwstr>
  </property>
</Properties>
</file>